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Хисобод сентябр\"/>
    </mc:Choice>
  </mc:AlternateContent>
  <xr:revisionPtr revIDLastSave="0" documentId="13_ncr:1_{40C36C86-5C1C-4199-BAF9-FB4622B642E9}" xr6:coauthVersionLast="45" xr6:coauthVersionMax="45" xr10:uidLastSave="{00000000-0000-0000-0000-000000000000}"/>
  <bookViews>
    <workbookView xWindow="-120" yWindow="-120" windowWidth="29040" windowHeight="15840" tabRatio="604" activeTab="3" xr2:uid="{00000000-000D-0000-FFFF-FFFF00000000}"/>
  </bookViews>
  <sheets>
    <sheet name="Жами мурожаатлар" sheetId="19" r:id="rId1"/>
    <sheet name="Ойма ой " sheetId="34" r:id="rId2"/>
    <sheet name="Куриб чикиш натижаси" sheetId="29" r:id="rId3"/>
    <sheet name="Кўриб чикиш муддати" sheetId="30" r:id="rId4"/>
  </sheets>
  <externalReferences>
    <externalReference r:id="rId5"/>
    <externalReference r:id="rId6"/>
  </externalReferences>
  <definedNames>
    <definedName name="_xlnm._FilterDatabase" localSheetId="0" hidden="1">'Жами мурожаатлар'!$A$5:$Y$5</definedName>
    <definedName name="_xlnm._FilterDatabase" localSheetId="3" hidden="1">'Кўриб чикиш муддати'!$A$5:$X$5</definedName>
    <definedName name="_xlnm._FilterDatabase" localSheetId="2" hidden="1">'Куриб чикиш натижаси'!$A$5:$R$5</definedName>
    <definedName name="_xlnm._FilterDatabase" localSheetId="1" hidden="1">'Ойма ой '!$A$4:$AI$4</definedName>
    <definedName name="а1" localSheetId="2">#REF!</definedName>
    <definedName name="а1" localSheetId="1">#REF!</definedName>
    <definedName name="а1">#REF!</definedName>
    <definedName name="а111" localSheetId="1">#REF!</definedName>
    <definedName name="а111">#REF!</definedName>
    <definedName name="КОД111" localSheetId="1">[1]Масалалар!$A$3:$S$3</definedName>
    <definedName name="КОД111">[1]Масалалар!$A$3:$S$3</definedName>
    <definedName name="код12" localSheetId="1">[1]!Таблица9[Асосли, асоссиз]</definedName>
    <definedName name="код12">[1]!Таблица9[Асосли, асоссиз]</definedName>
    <definedName name="код23" localSheetId="1">[1]!Таблица14[Мурожаат такрорий ёки дубликат]</definedName>
    <definedName name="код23">[1]!Таблица14[Мурожаат такрорий ёки дубликат]</definedName>
    <definedName name="код24" localSheetId="1">[1]!Таблица15[Мурожаатнинг кўриб чиқилиши]</definedName>
    <definedName name="код24">[1]!Таблица15[Мурожаатнинг кўриб чиқилиши]</definedName>
    <definedName name="код25" localSheetId="1">[1]!Таблица16[Мурожаат қандай ижро этилди]</definedName>
    <definedName name="код25">[1]!Таблица16[Мурожаат қандай ижро этилди]</definedName>
    <definedName name="_xlnm.Print_Area" localSheetId="0">'Жами мурожаатлар'!$A$1:$R$41</definedName>
    <definedName name="_xlnm.Print_Area" localSheetId="3">'Кўриб чикиш муддати'!$A$1:$R$41</definedName>
    <definedName name="_xlnm.Print_Area" localSheetId="2">'Куриб чикиш натижаси'!$A$1:$R$28</definedName>
    <definedName name="_xlnm.Print_Area" localSheetId="1">'Ойма ой '!$A$1:$V$26</definedName>
  </definedNames>
  <calcPr calcId="191029"/>
</workbook>
</file>

<file path=xl/calcChain.xml><?xml version="1.0" encoding="utf-8"?>
<calcChain xmlns="http://schemas.openxmlformats.org/spreadsheetml/2006/main">
  <c r="J26" i="30" l="1"/>
  <c r="H26" i="30"/>
  <c r="F26" i="30"/>
  <c r="K26" i="29"/>
  <c r="G26" i="29"/>
  <c r="P39" i="19"/>
  <c r="D39" i="19"/>
  <c r="F25" i="19"/>
  <c r="F26" i="19"/>
  <c r="P26" i="19"/>
  <c r="L26" i="19"/>
  <c r="H26" i="19"/>
  <c r="K37" i="30" l="1"/>
  <c r="K31" i="30"/>
  <c r="K30" i="30"/>
  <c r="K29" i="30"/>
  <c r="I33" i="30"/>
  <c r="I31" i="30"/>
  <c r="I30" i="30"/>
  <c r="I29" i="30"/>
  <c r="G33" i="30"/>
  <c r="G32" i="30"/>
  <c r="G31" i="30"/>
  <c r="G30" i="30"/>
  <c r="G29" i="30"/>
  <c r="W41" i="30"/>
  <c r="V30" i="30"/>
  <c r="V31" i="30"/>
  <c r="V32" i="30"/>
  <c r="V33" i="30"/>
  <c r="V35" i="30"/>
  <c r="V36" i="30"/>
  <c r="V34" i="30"/>
  <c r="V37" i="30"/>
  <c r="V38" i="30"/>
  <c r="V39" i="30"/>
  <c r="V40" i="30"/>
  <c r="V29" i="30"/>
  <c r="U30" i="30"/>
  <c r="U31" i="30"/>
  <c r="U32" i="30"/>
  <c r="U33" i="30"/>
  <c r="U35" i="30"/>
  <c r="U36" i="30"/>
  <c r="U34" i="30"/>
  <c r="U37" i="30"/>
  <c r="U38" i="30"/>
  <c r="U39" i="30"/>
  <c r="U40" i="30"/>
  <c r="U29" i="30"/>
  <c r="T30" i="30"/>
  <c r="T31" i="30"/>
  <c r="T32" i="30"/>
  <c r="T33" i="30"/>
  <c r="T35" i="30"/>
  <c r="T36" i="30"/>
  <c r="T34" i="30"/>
  <c r="T37" i="30"/>
  <c r="T38" i="30"/>
  <c r="T39" i="30"/>
  <c r="T40" i="30"/>
  <c r="T29" i="30"/>
  <c r="S30" i="30"/>
  <c r="S31" i="30"/>
  <c r="S32" i="30"/>
  <c r="S33" i="30"/>
  <c r="S35" i="30"/>
  <c r="S36" i="30"/>
  <c r="S34" i="30"/>
  <c r="S37" i="30"/>
  <c r="S38" i="30"/>
  <c r="S39" i="30"/>
  <c r="S40" i="30"/>
  <c r="S29" i="30"/>
  <c r="K14" i="30"/>
  <c r="K8" i="30"/>
  <c r="I23" i="30"/>
  <c r="I22" i="30"/>
  <c r="I21" i="30"/>
  <c r="I18" i="30"/>
  <c r="I16" i="30"/>
  <c r="I13" i="30"/>
  <c r="I11" i="30"/>
  <c r="I10" i="30"/>
  <c r="I9" i="30"/>
  <c r="I6" i="30"/>
  <c r="G18" i="30"/>
  <c r="G13" i="30"/>
  <c r="G12" i="30"/>
  <c r="G7" i="30"/>
  <c r="G6" i="30"/>
  <c r="V7" i="30"/>
  <c r="V8" i="30"/>
  <c r="V9" i="30"/>
  <c r="V10" i="30"/>
  <c r="V11" i="30"/>
  <c r="V12" i="30"/>
  <c r="V13" i="30"/>
  <c r="V14" i="30"/>
  <c r="V15" i="30"/>
  <c r="V16" i="30"/>
  <c r="V17" i="30"/>
  <c r="V20" i="30"/>
  <c r="V19" i="30"/>
  <c r="V18" i="30"/>
  <c r="V21" i="30"/>
  <c r="V22" i="30"/>
  <c r="V23" i="30"/>
  <c r="V25" i="30"/>
  <c r="V24" i="30"/>
  <c r="V26" i="30"/>
  <c r="V6" i="30"/>
  <c r="U7" i="30"/>
  <c r="U8" i="30"/>
  <c r="U9" i="30"/>
  <c r="U10" i="30"/>
  <c r="U11" i="30"/>
  <c r="U12" i="30"/>
  <c r="U13" i="30"/>
  <c r="U14" i="30"/>
  <c r="U15" i="30"/>
  <c r="U16" i="30"/>
  <c r="U17" i="30"/>
  <c r="U20" i="30"/>
  <c r="U19" i="30"/>
  <c r="U18" i="30"/>
  <c r="U21" i="30"/>
  <c r="U22" i="30"/>
  <c r="U23" i="30"/>
  <c r="U25" i="30"/>
  <c r="U24" i="30"/>
  <c r="U26" i="30"/>
  <c r="U6" i="30"/>
  <c r="T7" i="30"/>
  <c r="T8" i="30"/>
  <c r="T9" i="30"/>
  <c r="T10" i="30"/>
  <c r="T11" i="30"/>
  <c r="T12" i="30"/>
  <c r="T13" i="30"/>
  <c r="T14" i="30"/>
  <c r="T15" i="30"/>
  <c r="T16" i="30"/>
  <c r="T17" i="30"/>
  <c r="T20" i="30"/>
  <c r="T19" i="30"/>
  <c r="T18" i="30"/>
  <c r="T21" i="30"/>
  <c r="T22" i="30"/>
  <c r="T23" i="30"/>
  <c r="T25" i="30"/>
  <c r="T24" i="30"/>
  <c r="T26" i="30"/>
  <c r="T6" i="30"/>
  <c r="W27" i="30"/>
  <c r="S7" i="30"/>
  <c r="S8" i="30"/>
  <c r="S9" i="30"/>
  <c r="S10" i="30"/>
  <c r="S11" i="30"/>
  <c r="S12" i="30"/>
  <c r="S13" i="30"/>
  <c r="S14" i="30"/>
  <c r="S15" i="30"/>
  <c r="S16" i="30"/>
  <c r="S17" i="30"/>
  <c r="S20" i="30"/>
  <c r="S19" i="30"/>
  <c r="S18" i="30"/>
  <c r="S21" i="30"/>
  <c r="S22" i="30"/>
  <c r="S23" i="30"/>
  <c r="S25" i="30"/>
  <c r="S24" i="30"/>
  <c r="S26" i="30"/>
  <c r="S6" i="30"/>
  <c r="J23" i="29"/>
  <c r="J12" i="29"/>
  <c r="J11" i="29"/>
  <c r="J10" i="29"/>
  <c r="J9" i="29"/>
  <c r="J7" i="29"/>
  <c r="J6" i="29"/>
  <c r="S7" i="29"/>
  <c r="S8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S6" i="29"/>
  <c r="U26" i="34"/>
  <c r="Q26" i="34"/>
  <c r="O26" i="34"/>
  <c r="M26" i="34"/>
  <c r="K26" i="34"/>
  <c r="I26" i="34"/>
  <c r="G26" i="34"/>
  <c r="E26" i="34"/>
  <c r="C25" i="34"/>
  <c r="V25" i="34" s="1"/>
  <c r="C24" i="34"/>
  <c r="H24" i="34" s="1"/>
  <c r="C23" i="34"/>
  <c r="P23" i="34" s="1"/>
  <c r="C22" i="34"/>
  <c r="H22" i="34" s="1"/>
  <c r="C21" i="34"/>
  <c r="P21" i="34" s="1"/>
  <c r="J20" i="34"/>
  <c r="C20" i="34"/>
  <c r="H20" i="34" s="1"/>
  <c r="C19" i="34"/>
  <c r="P19" i="34" s="1"/>
  <c r="J18" i="34"/>
  <c r="C18" i="34"/>
  <c r="H18" i="34" s="1"/>
  <c r="C17" i="34"/>
  <c r="P17" i="34" s="1"/>
  <c r="S16" i="34"/>
  <c r="V15" i="34"/>
  <c r="T15" i="34"/>
  <c r="P15" i="34"/>
  <c r="L15" i="34"/>
  <c r="H15" i="34"/>
  <c r="F15" i="34"/>
  <c r="D15" i="34"/>
  <c r="C15" i="34"/>
  <c r="R15" i="34" s="1"/>
  <c r="T14" i="34"/>
  <c r="P14" i="34"/>
  <c r="N14" i="34"/>
  <c r="L14" i="34"/>
  <c r="J14" i="34"/>
  <c r="H14" i="34"/>
  <c r="D14" i="34"/>
  <c r="C14" i="34"/>
  <c r="V14" i="34" s="1"/>
  <c r="V13" i="34"/>
  <c r="T13" i="34"/>
  <c r="P13" i="34"/>
  <c r="L13" i="34"/>
  <c r="H13" i="34"/>
  <c r="F13" i="34"/>
  <c r="D13" i="34"/>
  <c r="C13" i="34"/>
  <c r="R13" i="34" s="1"/>
  <c r="T12" i="34"/>
  <c r="P12" i="34"/>
  <c r="N12" i="34"/>
  <c r="L12" i="34"/>
  <c r="J12" i="34"/>
  <c r="H12" i="34"/>
  <c r="D12" i="34"/>
  <c r="C12" i="34"/>
  <c r="V12" i="34" s="1"/>
  <c r="V11" i="34"/>
  <c r="T11" i="34"/>
  <c r="P11" i="34"/>
  <c r="L11" i="34"/>
  <c r="H11" i="34"/>
  <c r="F11" i="34"/>
  <c r="D11" i="34"/>
  <c r="C11" i="34"/>
  <c r="R11" i="34" s="1"/>
  <c r="T10" i="34"/>
  <c r="P10" i="34"/>
  <c r="N10" i="34"/>
  <c r="L10" i="34"/>
  <c r="J10" i="34"/>
  <c r="H10" i="34"/>
  <c r="D10" i="34"/>
  <c r="C10" i="34"/>
  <c r="V10" i="34" s="1"/>
  <c r="V9" i="34"/>
  <c r="T9" i="34"/>
  <c r="L9" i="34"/>
  <c r="F9" i="34"/>
  <c r="D9" i="34"/>
  <c r="C9" i="34"/>
  <c r="R9" i="34" s="1"/>
  <c r="T8" i="34"/>
  <c r="P8" i="34"/>
  <c r="N8" i="34"/>
  <c r="L8" i="34"/>
  <c r="J8" i="34"/>
  <c r="H8" i="34"/>
  <c r="D8" i="34"/>
  <c r="C8" i="34"/>
  <c r="V8" i="34" s="1"/>
  <c r="T7" i="34"/>
  <c r="L7" i="34"/>
  <c r="F7" i="34"/>
  <c r="D7" i="34"/>
  <c r="C7" i="34"/>
  <c r="R7" i="34" s="1"/>
  <c r="T6" i="34"/>
  <c r="P6" i="34"/>
  <c r="N6" i="34"/>
  <c r="L6" i="34"/>
  <c r="J6" i="34"/>
  <c r="H6" i="34"/>
  <c r="D6" i="34"/>
  <c r="C6" i="34"/>
  <c r="V6" i="34" s="1"/>
  <c r="A6" i="34"/>
  <c r="A7" i="34" s="1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T5" i="34"/>
  <c r="L5" i="34"/>
  <c r="D5" i="34"/>
  <c r="C5" i="34"/>
  <c r="R5" i="34" s="1"/>
  <c r="J24" i="34" l="1"/>
  <c r="J22" i="34"/>
  <c r="S41" i="30"/>
  <c r="S27" i="30"/>
  <c r="U41" i="30"/>
  <c r="T41" i="30"/>
  <c r="V41" i="30"/>
  <c r="V27" i="30"/>
  <c r="U27" i="30"/>
  <c r="T27" i="30"/>
  <c r="R19" i="34"/>
  <c r="F5" i="34"/>
  <c r="V7" i="34"/>
  <c r="D17" i="34"/>
  <c r="T17" i="34"/>
  <c r="L18" i="34"/>
  <c r="D19" i="34"/>
  <c r="T19" i="34"/>
  <c r="L20" i="34"/>
  <c r="D21" i="34"/>
  <c r="T21" i="34"/>
  <c r="L22" i="34"/>
  <c r="D23" i="34"/>
  <c r="T23" i="34"/>
  <c r="L24" i="34"/>
  <c r="D25" i="34"/>
  <c r="V5" i="34"/>
  <c r="H5" i="34"/>
  <c r="H7" i="34"/>
  <c r="H9" i="34"/>
  <c r="F17" i="34"/>
  <c r="V17" i="34"/>
  <c r="N18" i="34"/>
  <c r="F19" i="34"/>
  <c r="V19" i="34"/>
  <c r="N20" i="34"/>
  <c r="F21" i="34"/>
  <c r="V21" i="34"/>
  <c r="N22" i="34"/>
  <c r="F23" i="34"/>
  <c r="V23" i="34"/>
  <c r="N24" i="34"/>
  <c r="T25" i="34"/>
  <c r="R21" i="34"/>
  <c r="J5" i="34"/>
  <c r="R6" i="34"/>
  <c r="J7" i="34"/>
  <c r="R8" i="34"/>
  <c r="J9" i="34"/>
  <c r="R10" i="34"/>
  <c r="J11" i="34"/>
  <c r="R12" i="34"/>
  <c r="J13" i="34"/>
  <c r="R14" i="34"/>
  <c r="J15" i="34"/>
  <c r="C16" i="34"/>
  <c r="H17" i="34"/>
  <c r="P18" i="34"/>
  <c r="H19" i="34"/>
  <c r="P20" i="34"/>
  <c r="H21" i="34"/>
  <c r="P22" i="34"/>
  <c r="H23" i="34"/>
  <c r="P24" i="34"/>
  <c r="J17" i="34"/>
  <c r="R18" i="34"/>
  <c r="R20" i="34"/>
  <c r="J21" i="34"/>
  <c r="R22" i="34"/>
  <c r="J23" i="34"/>
  <c r="R24" i="34"/>
  <c r="C26" i="34"/>
  <c r="D26" i="34" s="1"/>
  <c r="S26" i="34"/>
  <c r="R17" i="34"/>
  <c r="R23" i="34"/>
  <c r="J19" i="34"/>
  <c r="N5" i="34"/>
  <c r="F6" i="34"/>
  <c r="N7" i="34"/>
  <c r="F8" i="34"/>
  <c r="N9" i="34"/>
  <c r="F10" i="34"/>
  <c r="N11" i="34"/>
  <c r="F12" i="34"/>
  <c r="N13" i="34"/>
  <c r="F14" i="34"/>
  <c r="N15" i="34"/>
  <c r="L17" i="34"/>
  <c r="D18" i="34"/>
  <c r="T18" i="34"/>
  <c r="L19" i="34"/>
  <c r="D20" i="34"/>
  <c r="T20" i="34"/>
  <c r="L21" i="34"/>
  <c r="D22" i="34"/>
  <c r="T22" i="34"/>
  <c r="L23" i="34"/>
  <c r="D24" i="34"/>
  <c r="T24" i="34"/>
  <c r="P5" i="34"/>
  <c r="P7" i="34"/>
  <c r="P9" i="34"/>
  <c r="N17" i="34"/>
  <c r="F18" i="34"/>
  <c r="V18" i="34"/>
  <c r="N19" i="34"/>
  <c r="F20" i="34"/>
  <c r="V20" i="34"/>
  <c r="N21" i="34"/>
  <c r="F22" i="34"/>
  <c r="V22" i="34"/>
  <c r="N23" i="34"/>
  <c r="F24" i="34"/>
  <c r="V24" i="34"/>
  <c r="T26" i="34" l="1"/>
  <c r="R26" i="34"/>
  <c r="J16" i="34"/>
  <c r="V16" i="34"/>
  <c r="H16" i="34"/>
  <c r="F16" i="34"/>
  <c r="D16" i="34"/>
  <c r="L16" i="34"/>
  <c r="R16" i="34"/>
  <c r="P16" i="34"/>
  <c r="N16" i="34"/>
  <c r="P26" i="34"/>
  <c r="N26" i="34"/>
  <c r="L26" i="34"/>
  <c r="T16" i="34"/>
  <c r="H26" i="34"/>
  <c r="J26" i="34"/>
  <c r="V26" i="34"/>
  <c r="F26" i="34"/>
  <c r="E7" i="19" l="1"/>
  <c r="E8" i="19"/>
  <c r="E9" i="19"/>
  <c r="E10" i="19"/>
  <c r="E11" i="19"/>
  <c r="E12" i="19"/>
  <c r="E13" i="19"/>
  <c r="E14" i="19"/>
  <c r="E15" i="19"/>
  <c r="E16" i="19"/>
  <c r="E17" i="19"/>
  <c r="E20" i="19"/>
  <c r="E19" i="19"/>
  <c r="E18" i="19"/>
  <c r="E21" i="19"/>
  <c r="E22" i="19"/>
  <c r="E23" i="19"/>
  <c r="E25" i="19"/>
  <c r="E24" i="19"/>
  <c r="E26" i="19"/>
  <c r="E6" i="19"/>
  <c r="M32" i="30" l="1"/>
  <c r="M29" i="30"/>
  <c r="M31" i="30"/>
  <c r="M30" i="30"/>
  <c r="E39" i="30"/>
  <c r="C39" i="30" s="1"/>
  <c r="N39" i="30" s="1"/>
  <c r="E26" i="30"/>
  <c r="C26" i="30" s="1"/>
  <c r="M14" i="30"/>
  <c r="M7" i="30"/>
  <c r="H39" i="30" l="1"/>
  <c r="J39" i="30"/>
  <c r="L39" i="30"/>
  <c r="R39" i="30"/>
  <c r="P39" i="30"/>
  <c r="F39" i="30"/>
  <c r="E7" i="29" l="1"/>
  <c r="E8" i="29" s="1"/>
  <c r="E9" i="29" s="1"/>
  <c r="E10" i="29" s="1"/>
  <c r="E11" i="29" s="1"/>
  <c r="T30" i="29" l="1"/>
  <c r="F24" i="29"/>
  <c r="F22" i="29"/>
  <c r="F25" i="29"/>
  <c r="F17" i="29"/>
  <c r="F23" i="29"/>
  <c r="F21" i="29"/>
  <c r="F18" i="29"/>
  <c r="F19" i="29"/>
  <c r="F20" i="29"/>
  <c r="F15" i="29"/>
  <c r="F16" i="29"/>
  <c r="F12" i="29"/>
  <c r="F14" i="29"/>
  <c r="F13" i="29"/>
  <c r="F11" i="29"/>
  <c r="F10" i="29"/>
  <c r="F9" i="29"/>
  <c r="F8" i="29"/>
  <c r="F7" i="29"/>
  <c r="F6" i="29"/>
  <c r="F26" i="29"/>
  <c r="C26" i="29" s="1"/>
  <c r="L27" i="29"/>
  <c r="W26" i="29"/>
  <c r="V26" i="29"/>
  <c r="U26" i="29"/>
  <c r="W25" i="29"/>
  <c r="V25" i="29"/>
  <c r="U25" i="29"/>
  <c r="W24" i="29"/>
  <c r="V24" i="29"/>
  <c r="U24" i="29"/>
  <c r="W23" i="29"/>
  <c r="V23" i="29"/>
  <c r="U23" i="29"/>
  <c r="W22" i="29"/>
  <c r="V22" i="29"/>
  <c r="U22" i="29"/>
  <c r="W21" i="29"/>
  <c r="V21" i="29"/>
  <c r="U21" i="29"/>
  <c r="W20" i="29"/>
  <c r="V20" i="29"/>
  <c r="U20" i="29"/>
  <c r="W19" i="29"/>
  <c r="V19" i="29"/>
  <c r="U19" i="29"/>
  <c r="W18" i="29"/>
  <c r="V18" i="29"/>
  <c r="U18" i="29"/>
  <c r="W17" i="29"/>
  <c r="V17" i="29"/>
  <c r="U17" i="29"/>
  <c r="W16" i="29"/>
  <c r="V16" i="29"/>
  <c r="U16" i="29"/>
  <c r="W15" i="29"/>
  <c r="V15" i="29"/>
  <c r="U15" i="29"/>
  <c r="W14" i="29"/>
  <c r="V14" i="29"/>
  <c r="U14" i="29"/>
  <c r="W13" i="29"/>
  <c r="V13" i="29"/>
  <c r="U13" i="29"/>
  <c r="W12" i="29"/>
  <c r="V12" i="29"/>
  <c r="U12" i="29"/>
  <c r="W11" i="29"/>
  <c r="V11" i="29"/>
  <c r="U11" i="29"/>
  <c r="W10" i="29"/>
  <c r="V10" i="29"/>
  <c r="U10" i="29"/>
  <c r="W9" i="29"/>
  <c r="V9" i="29"/>
  <c r="U9" i="29"/>
  <c r="W8" i="29"/>
  <c r="V8" i="29"/>
  <c r="U8" i="29"/>
  <c r="W7" i="29"/>
  <c r="V7" i="29"/>
  <c r="U7" i="29"/>
  <c r="W6" i="29"/>
  <c r="V6" i="29"/>
  <c r="U6" i="29"/>
  <c r="T26" i="29"/>
  <c r="T25" i="29"/>
  <c r="T24" i="29"/>
  <c r="T23" i="29"/>
  <c r="T22" i="29"/>
  <c r="T21" i="29"/>
  <c r="T20" i="29"/>
  <c r="T19" i="29"/>
  <c r="T18" i="29"/>
  <c r="T17" i="29"/>
  <c r="T16" i="29"/>
  <c r="T15" i="29"/>
  <c r="T14" i="29"/>
  <c r="T13" i="29"/>
  <c r="T12" i="29"/>
  <c r="T11" i="29"/>
  <c r="T10" i="29"/>
  <c r="T9" i="29"/>
  <c r="T8" i="29"/>
  <c r="T7" i="29"/>
  <c r="T6" i="29"/>
  <c r="X7" i="19"/>
  <c r="X8" i="19" s="1"/>
  <c r="X9" i="19" s="1"/>
  <c r="X10" i="19" s="1"/>
  <c r="X11" i="19" s="1"/>
  <c r="C39" i="19"/>
  <c r="H39" i="19" s="1"/>
  <c r="C26" i="19"/>
  <c r="S27" i="29" l="1"/>
  <c r="U27" i="29"/>
  <c r="V27" i="29"/>
  <c r="W27" i="29"/>
  <c r="T27" i="29"/>
  <c r="J39" i="19"/>
  <c r="L39" i="19"/>
  <c r="R39" i="19"/>
  <c r="N39" i="19"/>
  <c r="F39" i="19"/>
  <c r="H27" i="29" l="1"/>
  <c r="J27" i="29"/>
  <c r="N27" i="29"/>
  <c r="P27" i="29"/>
  <c r="Q27" i="29"/>
  <c r="G27" i="19" l="1"/>
  <c r="I27" i="19"/>
  <c r="K27" i="19"/>
  <c r="M27" i="19"/>
  <c r="O27" i="19"/>
  <c r="Q27" i="19"/>
  <c r="I41" i="19"/>
  <c r="O41" i="19"/>
  <c r="M30" i="19"/>
  <c r="M41" i="19" s="1"/>
  <c r="K41" i="19"/>
  <c r="Q41" i="19" l="1"/>
  <c r="G41" i="19"/>
  <c r="A30" i="30" l="1"/>
  <c r="A31" i="30" s="1"/>
  <c r="A32" i="30" s="1"/>
  <c r="A33" i="30" s="1"/>
  <c r="E36" i="30"/>
  <c r="C36" i="30" s="1"/>
  <c r="L36" i="30" l="1"/>
  <c r="J36" i="30"/>
  <c r="N36" i="30"/>
  <c r="H36" i="30"/>
  <c r="F36" i="30"/>
  <c r="P36" i="30"/>
  <c r="R36" i="30"/>
  <c r="E22" i="30"/>
  <c r="C22" i="29"/>
  <c r="E36" i="19"/>
  <c r="C36" i="19"/>
  <c r="C22" i="19"/>
  <c r="R22" i="29" l="1"/>
  <c r="M22" i="29"/>
  <c r="I22" i="29"/>
  <c r="O22" i="29"/>
  <c r="K22" i="29"/>
  <c r="J22" i="19"/>
  <c r="N22" i="19"/>
  <c r="R22" i="19"/>
  <c r="H22" i="19"/>
  <c r="P22" i="19"/>
  <c r="L22" i="19"/>
  <c r="N36" i="19"/>
  <c r="H36" i="19"/>
  <c r="L36" i="19"/>
  <c r="P36" i="19"/>
  <c r="J36" i="19"/>
  <c r="R36" i="19"/>
  <c r="C22" i="30"/>
  <c r="F22" i="30" s="1"/>
  <c r="G22" i="29"/>
  <c r="F22" i="19"/>
  <c r="F36" i="19"/>
  <c r="P22" i="30" l="1"/>
  <c r="L22" i="30"/>
  <c r="H22" i="30"/>
  <c r="R22" i="30"/>
  <c r="N22" i="30"/>
  <c r="J22" i="30"/>
  <c r="A31" i="19" l="1"/>
  <c r="A32" i="19" s="1"/>
  <c r="A33" i="19" s="1"/>
  <c r="Q41" i="30" l="1"/>
  <c r="O41" i="30"/>
  <c r="E40" i="30"/>
  <c r="E32" i="30"/>
  <c r="E37" i="30"/>
  <c r="C37" i="30" s="1"/>
  <c r="I41" i="30"/>
  <c r="E33" i="30"/>
  <c r="C33" i="30" s="1"/>
  <c r="M41" i="30"/>
  <c r="G27" i="30"/>
  <c r="I27" i="30"/>
  <c r="K27" i="30"/>
  <c r="M27" i="30"/>
  <c r="O27" i="30"/>
  <c r="Q27" i="30"/>
  <c r="E35" i="30"/>
  <c r="E34" i="30"/>
  <c r="E38" i="30"/>
  <c r="R37" i="30" l="1"/>
  <c r="R33" i="30"/>
  <c r="G41" i="30"/>
  <c r="K41" i="30"/>
  <c r="C40" i="30"/>
  <c r="F40" i="30" s="1"/>
  <c r="C34" i="30"/>
  <c r="F34" i="30" s="1"/>
  <c r="C32" i="30"/>
  <c r="C38" i="30"/>
  <c r="C35" i="30"/>
  <c r="H37" i="30"/>
  <c r="H33" i="30"/>
  <c r="L37" i="30"/>
  <c r="L33" i="30"/>
  <c r="P37" i="30"/>
  <c r="P33" i="30"/>
  <c r="F37" i="30"/>
  <c r="F33" i="30"/>
  <c r="J37" i="30"/>
  <c r="J33" i="30"/>
  <c r="N37" i="30"/>
  <c r="N33" i="30"/>
  <c r="E29" i="30"/>
  <c r="E31" i="30"/>
  <c r="E30" i="30"/>
  <c r="C40" i="19"/>
  <c r="C29" i="19"/>
  <c r="C31" i="19"/>
  <c r="C30" i="19"/>
  <c r="C32" i="19"/>
  <c r="C35" i="19"/>
  <c r="C33" i="19"/>
  <c r="C34" i="19"/>
  <c r="C37" i="19"/>
  <c r="C38" i="19"/>
  <c r="E13" i="30"/>
  <c r="E8" i="30"/>
  <c r="E9" i="30"/>
  <c r="E11" i="30"/>
  <c r="E15" i="30"/>
  <c r="E23" i="30"/>
  <c r="E24" i="30"/>
  <c r="E25" i="30"/>
  <c r="E6" i="30"/>
  <c r="E14" i="30"/>
  <c r="E19" i="30"/>
  <c r="E10" i="30"/>
  <c r="E7" i="30"/>
  <c r="E20" i="30"/>
  <c r="E16" i="30"/>
  <c r="E21" i="30"/>
  <c r="E18" i="30"/>
  <c r="E17" i="30"/>
  <c r="E12" i="30"/>
  <c r="J34" i="30" l="1"/>
  <c r="J40" i="30"/>
  <c r="N40" i="30"/>
  <c r="R34" i="30"/>
  <c r="N37" i="19"/>
  <c r="H37" i="19"/>
  <c r="L37" i="19"/>
  <c r="P37" i="19"/>
  <c r="J37" i="19"/>
  <c r="R37" i="19"/>
  <c r="J33" i="19"/>
  <c r="N33" i="19"/>
  <c r="R33" i="19"/>
  <c r="H33" i="19"/>
  <c r="L33" i="19"/>
  <c r="P33" i="19"/>
  <c r="J32" i="19"/>
  <c r="N32" i="19"/>
  <c r="R32" i="19"/>
  <c r="H32" i="19"/>
  <c r="P32" i="19"/>
  <c r="L32" i="19"/>
  <c r="J31" i="19"/>
  <c r="R31" i="19"/>
  <c r="N31" i="19"/>
  <c r="H31" i="19"/>
  <c r="P31" i="19"/>
  <c r="L31" i="19"/>
  <c r="J40" i="19"/>
  <c r="R40" i="19"/>
  <c r="H40" i="19"/>
  <c r="L40" i="19"/>
  <c r="P40" i="19"/>
  <c r="N40" i="19"/>
  <c r="J38" i="19"/>
  <c r="H38" i="19"/>
  <c r="L38" i="19"/>
  <c r="P38" i="19"/>
  <c r="N38" i="19"/>
  <c r="R38" i="19"/>
  <c r="J34" i="19"/>
  <c r="H34" i="19"/>
  <c r="L34" i="19"/>
  <c r="P34" i="19"/>
  <c r="N34" i="19"/>
  <c r="R34" i="19"/>
  <c r="J35" i="19"/>
  <c r="N35" i="19"/>
  <c r="R35" i="19"/>
  <c r="H35" i="19"/>
  <c r="P35" i="19"/>
  <c r="L35" i="19"/>
  <c r="J30" i="19"/>
  <c r="L30" i="19"/>
  <c r="N30" i="19"/>
  <c r="P30" i="19"/>
  <c r="R30" i="19"/>
  <c r="H30" i="19"/>
  <c r="N29" i="19"/>
  <c r="L29" i="19"/>
  <c r="H29" i="19"/>
  <c r="P29" i="19"/>
  <c r="J29" i="19"/>
  <c r="R29" i="19"/>
  <c r="L34" i="30"/>
  <c r="H34" i="30"/>
  <c r="N34" i="30"/>
  <c r="P40" i="30"/>
  <c r="L40" i="30"/>
  <c r="H40" i="30"/>
  <c r="P34" i="30"/>
  <c r="R40" i="30"/>
  <c r="F32" i="30"/>
  <c r="C12" i="30"/>
  <c r="C21" i="30"/>
  <c r="C20" i="30"/>
  <c r="C10" i="30"/>
  <c r="C14" i="30"/>
  <c r="C25" i="30"/>
  <c r="C23" i="30"/>
  <c r="C11" i="30"/>
  <c r="C8" i="30"/>
  <c r="C29" i="30"/>
  <c r="C17" i="30"/>
  <c r="C18" i="30"/>
  <c r="C16" i="30"/>
  <c r="C7" i="30"/>
  <c r="C19" i="30"/>
  <c r="C6" i="30"/>
  <c r="D6" i="30" s="1"/>
  <c r="E27" i="30"/>
  <c r="C24" i="30"/>
  <c r="C15" i="30"/>
  <c r="C9" i="30"/>
  <c r="C13" i="30"/>
  <c r="E41" i="30"/>
  <c r="P38" i="30"/>
  <c r="L38" i="30"/>
  <c r="H38" i="30"/>
  <c r="R38" i="30"/>
  <c r="N38" i="30"/>
  <c r="J38" i="30"/>
  <c r="F38" i="30"/>
  <c r="C30" i="30"/>
  <c r="C31" i="30"/>
  <c r="P35" i="30"/>
  <c r="L35" i="30"/>
  <c r="H35" i="30"/>
  <c r="R35" i="30"/>
  <c r="N35" i="30"/>
  <c r="J35" i="30"/>
  <c r="R32" i="30"/>
  <c r="N32" i="30"/>
  <c r="J32" i="30"/>
  <c r="P32" i="30"/>
  <c r="L32" i="30"/>
  <c r="H32" i="30"/>
  <c r="F35" i="30"/>
  <c r="C41" i="19"/>
  <c r="F40" i="19"/>
  <c r="P10" i="30" l="1"/>
  <c r="L41" i="19"/>
  <c r="P41" i="19"/>
  <c r="J41" i="19"/>
  <c r="N41" i="19"/>
  <c r="R41" i="19"/>
  <c r="H41" i="19"/>
  <c r="F15" i="30"/>
  <c r="F24" i="30"/>
  <c r="F30" i="30"/>
  <c r="F13" i="30"/>
  <c r="F9" i="30"/>
  <c r="R6" i="30"/>
  <c r="P6" i="30"/>
  <c r="N6" i="30"/>
  <c r="L6" i="30"/>
  <c r="J6" i="30"/>
  <c r="H6" i="30"/>
  <c r="C27" i="30"/>
  <c r="P19" i="30"/>
  <c r="R19" i="30"/>
  <c r="J19" i="30"/>
  <c r="H19" i="30"/>
  <c r="N19" i="30"/>
  <c r="L19" i="30"/>
  <c r="R7" i="30"/>
  <c r="P7" i="30"/>
  <c r="N7" i="30"/>
  <c r="L7" i="30"/>
  <c r="J7" i="30"/>
  <c r="H7" i="30"/>
  <c r="P16" i="30"/>
  <c r="R16" i="30"/>
  <c r="J16" i="30"/>
  <c r="H16" i="30"/>
  <c r="N16" i="30"/>
  <c r="L16" i="30"/>
  <c r="R18" i="30"/>
  <c r="J18" i="30"/>
  <c r="H18" i="30"/>
  <c r="P18" i="30"/>
  <c r="N18" i="30"/>
  <c r="L18" i="30"/>
  <c r="P17" i="30"/>
  <c r="N17" i="30"/>
  <c r="L17" i="30"/>
  <c r="R17" i="30"/>
  <c r="J17" i="30"/>
  <c r="H17" i="30"/>
  <c r="R29" i="30"/>
  <c r="N29" i="30"/>
  <c r="J29" i="30"/>
  <c r="P29" i="30"/>
  <c r="H29" i="30"/>
  <c r="L29" i="30"/>
  <c r="P8" i="30"/>
  <c r="N8" i="30"/>
  <c r="R8" i="30"/>
  <c r="J8" i="30"/>
  <c r="H8" i="30"/>
  <c r="L8" i="30"/>
  <c r="R11" i="30"/>
  <c r="P11" i="30"/>
  <c r="N11" i="30"/>
  <c r="L11" i="30"/>
  <c r="J11" i="30"/>
  <c r="H11" i="30"/>
  <c r="R23" i="30"/>
  <c r="P23" i="30"/>
  <c r="N23" i="30"/>
  <c r="L23" i="30"/>
  <c r="J23" i="30"/>
  <c r="H23" i="30"/>
  <c r="R25" i="30"/>
  <c r="J25" i="30"/>
  <c r="H25" i="30"/>
  <c r="P25" i="30"/>
  <c r="N25" i="30"/>
  <c r="L25" i="30"/>
  <c r="R14" i="30"/>
  <c r="J14" i="30"/>
  <c r="H14" i="30"/>
  <c r="P14" i="30"/>
  <c r="N14" i="30"/>
  <c r="L14" i="30"/>
  <c r="R10" i="30"/>
  <c r="N10" i="30"/>
  <c r="L10" i="30"/>
  <c r="J10" i="30"/>
  <c r="H10" i="30"/>
  <c r="R20" i="30"/>
  <c r="P20" i="30"/>
  <c r="N20" i="30"/>
  <c r="L20" i="30"/>
  <c r="J20" i="30"/>
  <c r="H20" i="30"/>
  <c r="R21" i="30"/>
  <c r="P21" i="30"/>
  <c r="N21" i="30"/>
  <c r="L21" i="30"/>
  <c r="J21" i="30"/>
  <c r="H21" i="30"/>
  <c r="R12" i="30"/>
  <c r="P12" i="30"/>
  <c r="N12" i="30"/>
  <c r="L12" i="30"/>
  <c r="J12" i="30"/>
  <c r="H12" i="30"/>
  <c r="R13" i="30"/>
  <c r="P13" i="30"/>
  <c r="N13" i="30"/>
  <c r="L13" i="30"/>
  <c r="J13" i="30"/>
  <c r="H13" i="30"/>
  <c r="P9" i="30"/>
  <c r="R9" i="30"/>
  <c r="J9" i="30"/>
  <c r="H9" i="30"/>
  <c r="N9" i="30"/>
  <c r="L9" i="30"/>
  <c r="R15" i="30"/>
  <c r="J15" i="30"/>
  <c r="H15" i="30"/>
  <c r="P15" i="30"/>
  <c r="N15" i="30"/>
  <c r="L15" i="30"/>
  <c r="P24" i="30"/>
  <c r="R24" i="30"/>
  <c r="J24" i="30"/>
  <c r="H24" i="30"/>
  <c r="N24" i="30"/>
  <c r="L24" i="30"/>
  <c r="F6" i="30"/>
  <c r="F19" i="30"/>
  <c r="F7" i="30"/>
  <c r="F16" i="30"/>
  <c r="F18" i="30"/>
  <c r="F17" i="30"/>
  <c r="F29" i="30"/>
  <c r="F8" i="30"/>
  <c r="F11" i="30"/>
  <c r="F23" i="30"/>
  <c r="F25" i="30"/>
  <c r="F14" i="30"/>
  <c r="F10" i="30"/>
  <c r="F20" i="30"/>
  <c r="F21" i="30"/>
  <c r="F12" i="30"/>
  <c r="R31" i="30"/>
  <c r="N31" i="30"/>
  <c r="J31" i="30"/>
  <c r="P31" i="30"/>
  <c r="L31" i="30"/>
  <c r="H31" i="30"/>
  <c r="F31" i="30"/>
  <c r="P30" i="30"/>
  <c r="L30" i="30"/>
  <c r="H30" i="30"/>
  <c r="R30" i="30"/>
  <c r="N30" i="30"/>
  <c r="J30" i="30"/>
  <c r="C41" i="30"/>
  <c r="E29" i="19"/>
  <c r="E31" i="19"/>
  <c r="E30" i="19"/>
  <c r="E32" i="19"/>
  <c r="E33" i="19"/>
  <c r="E35" i="19"/>
  <c r="E37" i="19"/>
  <c r="E34" i="19"/>
  <c r="F41" i="30" l="1"/>
  <c r="F27" i="30"/>
  <c r="R27" i="30"/>
  <c r="N27" i="30"/>
  <c r="J27" i="30"/>
  <c r="L27" i="30"/>
  <c r="P27" i="30"/>
  <c r="H27" i="30"/>
  <c r="J41" i="30"/>
  <c r="R41" i="30"/>
  <c r="L41" i="30"/>
  <c r="N41" i="30"/>
  <c r="H41" i="30"/>
  <c r="P41" i="30"/>
  <c r="E41" i="19"/>
  <c r="C7" i="29"/>
  <c r="C10" i="29"/>
  <c r="C8" i="29"/>
  <c r="C9" i="29"/>
  <c r="C14" i="29"/>
  <c r="C16" i="29"/>
  <c r="C11" i="29"/>
  <c r="C15" i="29"/>
  <c r="C19" i="29"/>
  <c r="C21" i="29"/>
  <c r="C18" i="29"/>
  <c r="C13" i="29"/>
  <c r="C20" i="29"/>
  <c r="C12" i="29"/>
  <c r="F27" i="29" l="1"/>
  <c r="D7" i="29"/>
  <c r="D9" i="29"/>
  <c r="D11" i="29"/>
  <c r="D8" i="29"/>
  <c r="D10" i="29"/>
  <c r="O12" i="29"/>
  <c r="R12" i="29"/>
  <c r="M12" i="29"/>
  <c r="C6" i="29"/>
  <c r="K12" i="29"/>
  <c r="I12" i="29"/>
  <c r="C24" i="29"/>
  <c r="R13" i="29"/>
  <c r="O13" i="29"/>
  <c r="O18" i="29"/>
  <c r="R18" i="29"/>
  <c r="M18" i="29"/>
  <c r="O19" i="29"/>
  <c r="R19" i="29"/>
  <c r="O15" i="29"/>
  <c r="R15" i="29"/>
  <c r="O16" i="29"/>
  <c r="R16" i="29"/>
  <c r="R9" i="29"/>
  <c r="O9" i="29"/>
  <c r="R10" i="29"/>
  <c r="O10" i="29"/>
  <c r="C17" i="29"/>
  <c r="R20" i="29"/>
  <c r="M20" i="29"/>
  <c r="I20" i="29"/>
  <c r="O20" i="29"/>
  <c r="K20" i="29"/>
  <c r="C25" i="29"/>
  <c r="R21" i="29"/>
  <c r="M21" i="29"/>
  <c r="O21" i="29"/>
  <c r="C23" i="29"/>
  <c r="R11" i="29"/>
  <c r="O11" i="29"/>
  <c r="O14" i="29"/>
  <c r="R14" i="29"/>
  <c r="O8" i="29"/>
  <c r="R8" i="29"/>
  <c r="O7" i="29"/>
  <c r="R7" i="29"/>
  <c r="F29" i="19"/>
  <c r="C10" i="19"/>
  <c r="C9" i="19"/>
  <c r="C16" i="19"/>
  <c r="C23" i="19"/>
  <c r="C19" i="19"/>
  <c r="C13" i="19"/>
  <c r="C12" i="19"/>
  <c r="C7" i="19"/>
  <c r="C14" i="19"/>
  <c r="C15" i="19"/>
  <c r="C24" i="19"/>
  <c r="C17" i="19"/>
  <c r="O6" i="29" l="1"/>
  <c r="C27" i="29"/>
  <c r="T31" i="29" s="1"/>
  <c r="F13" i="19"/>
  <c r="J24" i="19"/>
  <c r="N24" i="19"/>
  <c r="R24" i="19"/>
  <c r="H24" i="19"/>
  <c r="L24" i="19"/>
  <c r="P24" i="19"/>
  <c r="J17" i="19"/>
  <c r="N17" i="19"/>
  <c r="R17" i="19"/>
  <c r="H17" i="19"/>
  <c r="P17" i="19"/>
  <c r="L17" i="19"/>
  <c r="J15" i="19"/>
  <c r="N15" i="19"/>
  <c r="R15" i="19"/>
  <c r="H15" i="19"/>
  <c r="P15" i="19"/>
  <c r="L15" i="19"/>
  <c r="D7" i="19"/>
  <c r="H7" i="19"/>
  <c r="L7" i="19"/>
  <c r="P7" i="19"/>
  <c r="J7" i="19"/>
  <c r="N7" i="19"/>
  <c r="R7" i="19"/>
  <c r="H12" i="19"/>
  <c r="J12" i="19"/>
  <c r="N12" i="19"/>
  <c r="R12" i="19"/>
  <c r="L12" i="19"/>
  <c r="P12" i="19"/>
  <c r="H13" i="19"/>
  <c r="L13" i="19"/>
  <c r="P13" i="19"/>
  <c r="J13" i="19"/>
  <c r="N13" i="19"/>
  <c r="R13" i="19"/>
  <c r="J19" i="19"/>
  <c r="N19" i="19"/>
  <c r="R19" i="19"/>
  <c r="H19" i="19"/>
  <c r="P19" i="19"/>
  <c r="L19" i="19"/>
  <c r="H16" i="19"/>
  <c r="L16" i="19"/>
  <c r="P16" i="19"/>
  <c r="J16" i="19"/>
  <c r="N16" i="19"/>
  <c r="R16" i="19"/>
  <c r="H14" i="19"/>
  <c r="L14" i="19"/>
  <c r="P14" i="19"/>
  <c r="J14" i="19"/>
  <c r="N14" i="19"/>
  <c r="R14" i="19"/>
  <c r="J23" i="19"/>
  <c r="N23" i="19"/>
  <c r="R23" i="19"/>
  <c r="L23" i="19"/>
  <c r="H23" i="19"/>
  <c r="P23" i="19"/>
  <c r="D9" i="19"/>
  <c r="H9" i="19"/>
  <c r="L9" i="19"/>
  <c r="P9" i="19"/>
  <c r="J9" i="19"/>
  <c r="N9" i="19"/>
  <c r="R9" i="19"/>
  <c r="D10" i="19"/>
  <c r="H10" i="19"/>
  <c r="L10" i="19"/>
  <c r="P10" i="19"/>
  <c r="J10" i="19"/>
  <c r="N10" i="19"/>
  <c r="R10" i="19"/>
  <c r="G25" i="29"/>
  <c r="G24" i="29"/>
  <c r="K6" i="29"/>
  <c r="D6" i="29"/>
  <c r="F23" i="19"/>
  <c r="F10" i="19"/>
  <c r="F17" i="19"/>
  <c r="F15" i="19"/>
  <c r="F12" i="19"/>
  <c r="F24" i="19"/>
  <c r="F19" i="19"/>
  <c r="F14" i="19"/>
  <c r="F7" i="19"/>
  <c r="F34" i="19"/>
  <c r="F35" i="19"/>
  <c r="F31" i="19"/>
  <c r="F38" i="19"/>
  <c r="F37" i="19"/>
  <c r="F33" i="19"/>
  <c r="F30" i="19"/>
  <c r="F32" i="19"/>
  <c r="M6" i="29"/>
  <c r="R6" i="29"/>
  <c r="I6" i="29"/>
  <c r="R23" i="29"/>
  <c r="M23" i="29"/>
  <c r="I23" i="29"/>
  <c r="O23" i="29"/>
  <c r="K23" i="29"/>
  <c r="R17" i="29"/>
  <c r="M17" i="29"/>
  <c r="I17" i="29"/>
  <c r="O17" i="29"/>
  <c r="K17" i="29"/>
  <c r="G23" i="29"/>
  <c r="R25" i="29"/>
  <c r="M25" i="29"/>
  <c r="I25" i="29"/>
  <c r="O25" i="29"/>
  <c r="K25" i="29"/>
  <c r="G17" i="29"/>
  <c r="O24" i="29"/>
  <c r="K24" i="29"/>
  <c r="R24" i="29"/>
  <c r="M24" i="29"/>
  <c r="I24" i="29"/>
  <c r="F16" i="19"/>
  <c r="C25" i="19"/>
  <c r="F9" i="19"/>
  <c r="C18" i="19"/>
  <c r="C20" i="19"/>
  <c r="C21" i="19"/>
  <c r="C11" i="19"/>
  <c r="C8" i="19"/>
  <c r="C6" i="19"/>
  <c r="I27" i="29" l="1"/>
  <c r="M27" i="29"/>
  <c r="O27" i="29"/>
  <c r="R27" i="29"/>
  <c r="K27" i="29"/>
  <c r="G27" i="29"/>
  <c r="D6" i="19"/>
  <c r="H6" i="19"/>
  <c r="L6" i="19"/>
  <c r="P6" i="19"/>
  <c r="J6" i="19"/>
  <c r="N6" i="19"/>
  <c r="R6" i="19"/>
  <c r="D8" i="19"/>
  <c r="H8" i="19"/>
  <c r="L8" i="19"/>
  <c r="P8" i="19"/>
  <c r="J8" i="19"/>
  <c r="N8" i="19"/>
  <c r="R8" i="19"/>
  <c r="J18" i="19"/>
  <c r="N18" i="19"/>
  <c r="R18" i="19"/>
  <c r="L18" i="19"/>
  <c r="H18" i="19"/>
  <c r="P18" i="19"/>
  <c r="J25" i="19"/>
  <c r="N25" i="19"/>
  <c r="R25" i="19"/>
  <c r="P25" i="19"/>
  <c r="L25" i="19"/>
  <c r="H25" i="19"/>
  <c r="D11" i="19"/>
  <c r="H11" i="19"/>
  <c r="L11" i="19"/>
  <c r="P11" i="19"/>
  <c r="J11" i="19"/>
  <c r="N11" i="19"/>
  <c r="R11" i="19"/>
  <c r="J20" i="19"/>
  <c r="N20" i="19"/>
  <c r="R20" i="19"/>
  <c r="L20" i="19"/>
  <c r="H20" i="19"/>
  <c r="P20" i="19"/>
  <c r="J21" i="19"/>
  <c r="N21" i="19"/>
  <c r="R21" i="19"/>
  <c r="P21" i="19"/>
  <c r="L21" i="19"/>
  <c r="H21" i="19"/>
  <c r="F20" i="19"/>
  <c r="F8" i="19"/>
  <c r="F11" i="19"/>
  <c r="F21" i="19"/>
  <c r="F18" i="19"/>
  <c r="E27" i="19"/>
  <c r="G19" i="29" l="1"/>
  <c r="G14" i="29"/>
  <c r="G21" i="29"/>
  <c r="G15" i="29"/>
  <c r="G18" i="29"/>
  <c r="G13" i="29"/>
  <c r="G12" i="29"/>
  <c r="G7" i="29"/>
  <c r="G16" i="29"/>
  <c r="G11" i="29"/>
  <c r="G20" i="29"/>
  <c r="G9" i="29"/>
  <c r="G10" i="29"/>
  <c r="G8" i="29"/>
  <c r="M14" i="29"/>
  <c r="M11" i="29"/>
  <c r="M16" i="29"/>
  <c r="M7" i="29"/>
  <c r="I10" i="29"/>
  <c r="K9" i="29"/>
  <c r="I19" i="29"/>
  <c r="M13" i="29"/>
  <c r="I18" i="29"/>
  <c r="M15" i="29"/>
  <c r="M8" i="29"/>
  <c r="G6" i="29" l="1"/>
  <c r="M9" i="29"/>
  <c r="I21" i="29"/>
  <c r="I14" i="29"/>
  <c r="I7" i="29"/>
  <c r="I16" i="29"/>
  <c r="K8" i="29"/>
  <c r="K11" i="29"/>
  <c r="I9" i="29"/>
  <c r="K21" i="29"/>
  <c r="M19" i="29"/>
  <c r="K14" i="29"/>
  <c r="K19" i="29"/>
  <c r="I8" i="29"/>
  <c r="I11" i="29"/>
  <c r="K7" i="29"/>
  <c r="K16" i="29"/>
  <c r="M10" i="29"/>
  <c r="K10" i="29"/>
  <c r="K18" i="29"/>
  <c r="I13" i="29"/>
  <c r="K15" i="29"/>
  <c r="K13" i="29"/>
  <c r="I15" i="29"/>
  <c r="F6" i="19" l="1"/>
  <c r="C27" i="19" l="1"/>
  <c r="L27" i="19" l="1"/>
  <c r="R27" i="19"/>
  <c r="J27" i="19"/>
  <c r="H27" i="19"/>
  <c r="P27" i="19"/>
  <c r="N27" i="19"/>
  <c r="F27" i="19"/>
  <c r="F41" i="19" l="1"/>
  <c r="A6" i="29" l="1"/>
  <c r="A7" i="29" s="1"/>
  <c r="A8" i="29" s="1"/>
  <c r="A7" i="19" l="1"/>
  <c r="A8" i="19" s="1"/>
  <c r="A9" i="19" s="1"/>
  <c r="A10" i="19" s="1"/>
  <c r="A11" i="19" s="1"/>
  <c r="A9" i="29"/>
  <c r="A10" i="29"/>
  <c r="A11" i="29" s="1"/>
  <c r="A12" i="19" l="1"/>
  <c r="A13" i="19" s="1"/>
  <c r="A14" i="19" s="1"/>
  <c r="A15" i="19" s="1"/>
  <c r="A16" i="19" s="1"/>
  <c r="A17" i="19" s="1"/>
  <c r="X12" i="19"/>
  <c r="X13" i="19"/>
  <c r="D13" i="19" s="1"/>
  <c r="D12" i="19"/>
  <c r="X14" i="19" l="1"/>
  <c r="X15" i="19" l="1"/>
  <c r="D14" i="19"/>
  <c r="X16" i="19" l="1"/>
  <c r="D15" i="19"/>
  <c r="X17" i="19" l="1"/>
  <c r="D16" i="19"/>
  <c r="D17" i="19" l="1"/>
  <c r="X18" i="19" l="1"/>
  <c r="X19" i="19" s="1"/>
  <c r="X20" i="19" s="1"/>
  <c r="D20" i="19" s="1"/>
  <c r="D19" i="19" l="1"/>
  <c r="D18" i="19"/>
  <c r="X21" i="19"/>
  <c r="D21" i="19" l="1"/>
  <c r="X22" i="19"/>
  <c r="X23" i="19" l="1"/>
  <c r="D22" i="19"/>
  <c r="D23" i="19" l="1"/>
  <c r="X24" i="19" l="1"/>
  <c r="X25" i="19" s="1"/>
  <c r="D25" i="19"/>
  <c r="X26" i="19" l="1"/>
  <c r="D24" i="19"/>
  <c r="D26" i="19" l="1"/>
  <c r="X27" i="19"/>
  <c r="D27" i="19" l="1"/>
  <c r="X29" i="19"/>
  <c r="X30" i="19" l="1"/>
  <c r="D29" i="19"/>
  <c r="X31" i="19" l="1"/>
  <c r="D30" i="19"/>
  <c r="D31" i="19" l="1"/>
  <c r="X32" i="19"/>
  <c r="D32" i="19" l="1"/>
  <c r="X33" i="19"/>
  <c r="D33" i="19" l="1"/>
  <c r="X34" i="19" l="1"/>
  <c r="X35" i="19" s="1"/>
  <c r="D35" i="19"/>
  <c r="D34" i="19" l="1"/>
  <c r="X38" i="19" l="1"/>
  <c r="X36" i="19" s="1"/>
  <c r="X37" i="19" s="1"/>
  <c r="D37" i="19" s="1"/>
  <c r="D36" i="19" l="1"/>
  <c r="D38" i="19"/>
  <c r="X39" i="19"/>
  <c r="X40" i="19" s="1"/>
  <c r="D40" i="19" l="1"/>
  <c r="X41" i="19"/>
  <c r="D41" i="19" s="1"/>
  <c r="A12" i="29"/>
  <c r="A13" i="29"/>
  <c r="A14" i="29" s="1"/>
  <c r="A15" i="29" s="1"/>
  <c r="A16" i="29" s="1"/>
  <c r="A17" i="29" s="1"/>
  <c r="E12" i="29"/>
  <c r="E13" i="29"/>
  <c r="E14" i="29" s="1"/>
  <c r="D13" i="29"/>
  <c r="D12" i="29"/>
  <c r="E15" i="29" l="1"/>
  <c r="D14" i="29"/>
  <c r="E16" i="29"/>
  <c r="D15" i="29"/>
  <c r="E17" i="29" l="1"/>
  <c r="D16" i="29"/>
  <c r="D17" i="29" l="1"/>
  <c r="E18" i="29" l="1"/>
  <c r="E19" i="29" s="1"/>
  <c r="E20" i="29" s="1"/>
  <c r="D20" i="29" s="1"/>
  <c r="D19" i="29"/>
  <c r="D18" i="29" l="1"/>
  <c r="E21" i="29"/>
  <c r="E22" i="29" l="1"/>
  <c r="D21" i="29"/>
  <c r="D22" i="29" l="1"/>
  <c r="E23" i="29"/>
  <c r="D23" i="29" l="1"/>
  <c r="E24" i="29" l="1"/>
  <c r="E25" i="29" s="1"/>
  <c r="D25" i="29" s="1"/>
  <c r="E26" i="29" l="1"/>
  <c r="D24" i="29"/>
  <c r="E27" i="29" l="1"/>
  <c r="D27" i="29" s="1"/>
  <c r="D26" i="29"/>
  <c r="A18" i="29" l="1"/>
  <c r="A19" i="29"/>
  <c r="A20" i="29" s="1"/>
  <c r="A21" i="29" s="1"/>
  <c r="A22" i="29" s="1"/>
  <c r="A23" i="29" s="1"/>
  <c r="A24" i="29" s="1"/>
  <c r="A25" i="29" s="1"/>
  <c r="A26" i="29" s="1"/>
  <c r="A34" i="19"/>
  <c r="A35" i="19" s="1"/>
  <c r="A36" i="19" s="1"/>
  <c r="A37" i="19" s="1"/>
  <c r="A38" i="19" s="1"/>
  <c r="A39" i="19" s="1"/>
  <c r="A40" i="19" s="1"/>
  <c r="A18" i="19"/>
  <c r="A19" i="19"/>
  <c r="A20" i="19" s="1"/>
  <c r="A21" i="19" s="1"/>
  <c r="A22" i="19" s="1"/>
  <c r="A23" i="19" s="1"/>
  <c r="A24" i="19" s="1"/>
  <c r="A25" i="19" s="1"/>
  <c r="A26" i="19" s="1"/>
  <c r="A34" i="30" l="1"/>
  <c r="A35" i="30"/>
  <c r="A36" i="30" s="1"/>
  <c r="A37" i="30" s="1"/>
  <c r="A38" i="30" s="1"/>
  <c r="A39" i="30" s="1"/>
  <c r="A40" i="30" s="1"/>
  <c r="X7" i="30"/>
  <c r="D7" i="30" s="1"/>
  <c r="A7" i="30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X8" i="30" l="1"/>
  <c r="D8" i="30" l="1"/>
  <c r="X9" i="30"/>
  <c r="X10" i="30" l="1"/>
  <c r="D9" i="30"/>
  <c r="D10" i="30" l="1"/>
  <c r="X11" i="30"/>
  <c r="D11" i="30" l="1"/>
  <c r="X12" i="30"/>
  <c r="X13" i="30" l="1"/>
  <c r="D12" i="30"/>
  <c r="D13" i="30" l="1"/>
  <c r="X14" i="30"/>
  <c r="X15" i="30" l="1"/>
  <c r="D14" i="30"/>
  <c r="X16" i="30" l="1"/>
  <c r="D15" i="30"/>
  <c r="X17" i="30" l="1"/>
  <c r="D16" i="30"/>
  <c r="D17" i="30" l="1"/>
  <c r="X18" i="30" l="1"/>
  <c r="X19" i="30" s="1"/>
  <c r="X20" i="30" s="1"/>
  <c r="D20" i="30" s="1"/>
  <c r="D19" i="30" l="1"/>
  <c r="X21" i="30"/>
  <c r="D18" i="30"/>
  <c r="X22" i="30" l="1"/>
  <c r="D21" i="30"/>
  <c r="X23" i="30" l="1"/>
  <c r="D23" i="30" s="1"/>
  <c r="D22" i="30"/>
  <c r="X24" i="30"/>
  <c r="X25" i="30" s="1"/>
  <c r="D24" i="30"/>
  <c r="D25" i="30" l="1"/>
  <c r="X26" i="30"/>
  <c r="D26" i="30" l="1"/>
  <c r="X27" i="30"/>
  <c r="D27" i="30" l="1"/>
  <c r="X28" i="30"/>
  <c r="X29" i="30" s="1"/>
  <c r="X30" i="30" l="1"/>
  <c r="D29" i="30"/>
  <c r="X31" i="30" l="1"/>
  <c r="D30" i="30"/>
  <c r="D31" i="30" l="1"/>
  <c r="X32" i="30"/>
  <c r="X33" i="30" l="1"/>
  <c r="D32" i="30"/>
  <c r="D33" i="30" l="1"/>
  <c r="X34" i="30"/>
  <c r="D34" i="30" l="1"/>
  <c r="X35" i="30"/>
  <c r="D35" i="30" l="1"/>
  <c r="X36" i="30"/>
  <c r="D36" i="30" l="1"/>
  <c r="X37" i="30"/>
  <c r="X38" i="30" l="1"/>
  <c r="D37" i="30"/>
  <c r="X40" i="30" l="1"/>
  <c r="X39" i="30"/>
  <c r="D39" i="30" s="1"/>
  <c r="D38" i="30"/>
  <c r="D40" i="30" l="1"/>
  <c r="X41" i="30"/>
  <c r="D41" i="30" s="1"/>
  <c r="A18" i="30"/>
  <c r="A19" i="30"/>
  <c r="A20" i="30" s="1"/>
  <c r="A21" i="30" s="1"/>
  <c r="A22" i="30" s="1"/>
  <c r="A23" i="30" s="1"/>
  <c r="A24" i="30" s="1"/>
  <c r="A25" i="30" s="1"/>
  <c r="A26" i="30" s="1"/>
</calcChain>
</file>

<file path=xl/sharedStrings.xml><?xml version="1.0" encoding="utf-8"?>
<sst xmlns="http://schemas.openxmlformats.org/spreadsheetml/2006/main" count="237" uniqueCount="110">
  <si>
    <t>№</t>
  </si>
  <si>
    <t>Филиаллар</t>
  </si>
  <si>
    <t xml:space="preserve">Миробод </t>
  </si>
  <si>
    <t xml:space="preserve">Чилонзор </t>
  </si>
  <si>
    <t xml:space="preserve">Яшнобод </t>
  </si>
  <si>
    <t xml:space="preserve">Юнусобод  </t>
  </si>
  <si>
    <t xml:space="preserve">Нукус </t>
  </si>
  <si>
    <t>Бухоро</t>
  </si>
  <si>
    <t xml:space="preserve">Шахрисабз </t>
  </si>
  <si>
    <t xml:space="preserve">Наманган </t>
  </si>
  <si>
    <t xml:space="preserve">Термиз </t>
  </si>
  <si>
    <t xml:space="preserve">Ургенч </t>
  </si>
  <si>
    <t xml:space="preserve">Қарши </t>
  </si>
  <si>
    <t xml:space="preserve">Фарғона </t>
  </si>
  <si>
    <t>Жами:</t>
  </si>
  <si>
    <t>Марказий банк "Ягона ишонч" телефони</t>
  </si>
  <si>
    <t>"Туронбанк" АТБ "Ягона ишонч телефони"</t>
  </si>
  <si>
    <t xml:space="preserve">Кредитлаш масаласида </t>
  </si>
  <si>
    <t>Ходимлар масаласида</t>
  </si>
  <si>
    <t>Бухгалтерия масаласида</t>
  </si>
  <si>
    <t>Бошқа масалалар</t>
  </si>
  <si>
    <t>шу жумладан таснифлар кесимида:</t>
  </si>
  <si>
    <t xml:space="preserve">Самарқанд </t>
  </si>
  <si>
    <t xml:space="preserve">Навоий </t>
  </si>
  <si>
    <t xml:space="preserve">Гулистон </t>
  </si>
  <si>
    <t xml:space="preserve">Жиззах </t>
  </si>
  <si>
    <t xml:space="preserve">Зангиота </t>
  </si>
  <si>
    <t xml:space="preserve">МАБ </t>
  </si>
  <si>
    <t>Мирзо-Улугбек</t>
  </si>
  <si>
    <t>Андижон</t>
  </si>
  <si>
    <t>Лойхаларни молиялаштириш</t>
  </si>
  <si>
    <t>Ўзб.Респ. Бош прокуратурасига келган мурожаатлар</t>
  </si>
  <si>
    <t xml:space="preserve">Ўзбекистон Президенти виртуал қабулхонасига келган мурожаатлар   </t>
  </si>
  <si>
    <t>Чакана хизматлар кўрсатиш</t>
  </si>
  <si>
    <t>"Туронбанк" АТБга келган  ёзма мурожаатлар</t>
  </si>
  <si>
    <t>Ўзб.Респ. Бош Вазирнинг қабулхонасига келган мурожаатлар</t>
  </si>
  <si>
    <t>Жами мурожаатлар сони</t>
  </si>
  <si>
    <t xml:space="preserve">Сони </t>
  </si>
  <si>
    <t>Фоизи</t>
  </si>
  <si>
    <t>Январ</t>
  </si>
  <si>
    <t>Феврал</t>
  </si>
  <si>
    <t>Март</t>
  </si>
  <si>
    <t>Рад этилган</t>
  </si>
  <si>
    <t>Кўриб чикилган масалалар сони</t>
  </si>
  <si>
    <t>Шундан</t>
  </si>
  <si>
    <t>Ижобий хал этилган</t>
  </si>
  <si>
    <t>Кўриб чиқилаётган мурожаатлар сони</t>
  </si>
  <si>
    <t>Тушунтириш берилган</t>
  </si>
  <si>
    <t>Жумладан, юқори турувчи ташкилотлардан келиб тушган мурожаатлар</t>
  </si>
  <si>
    <t>Шу жумладан</t>
  </si>
  <si>
    <t>Апрел</t>
  </si>
  <si>
    <t>Курмасдан қолдирилган</t>
  </si>
  <si>
    <t>Кўриб чиқилган мурожаатлар</t>
  </si>
  <si>
    <t>Кўриб чиқиш жараёнидаги мурожаатлар</t>
  </si>
  <si>
    <t>Сони</t>
  </si>
  <si>
    <t>1-3 кун</t>
  </si>
  <si>
    <t>4-7 кун</t>
  </si>
  <si>
    <t>8-12 кун</t>
  </si>
  <si>
    <t>13-15 кун</t>
  </si>
  <si>
    <t>шу жумладан Департаментлар кесимида:</t>
  </si>
  <si>
    <t>Чакана хизматлар кўрсатиш департаменти</t>
  </si>
  <si>
    <t xml:space="preserve">Инвестиция фаолиятини ривожлантириш ва лойихаларни бошқариш Маркази </t>
  </si>
  <si>
    <t xml:space="preserve"> Кредитлаш департаменти </t>
  </si>
  <si>
    <t xml:space="preserve">Ходимлар билан ишлаш департаменти </t>
  </si>
  <si>
    <t>Банк рискларини бошқариш департаменти</t>
  </si>
  <si>
    <t xml:space="preserve">Юридик департаменти </t>
  </si>
  <si>
    <t xml:space="preserve">Бухгалтерия ҳисоби  департаменти </t>
  </si>
  <si>
    <t xml:space="preserve">ТИФ департаменти </t>
  </si>
  <si>
    <t>15-30 кун</t>
  </si>
  <si>
    <t>Мурожаатларни неча кунда кўриб чиқилганлиги</t>
  </si>
  <si>
    <t>Май</t>
  </si>
  <si>
    <t>Ички аудит</t>
  </si>
  <si>
    <t>Филиал айби</t>
  </si>
  <si>
    <t>Фоизда</t>
  </si>
  <si>
    <t>Бош банк</t>
  </si>
  <si>
    <t>Июн</t>
  </si>
  <si>
    <r>
      <t xml:space="preserve">2021 йил жами келиб тушган мурожаатларнинг </t>
    </r>
    <r>
      <rPr>
        <b/>
        <u/>
        <sz val="20"/>
        <color indexed="8"/>
        <rFont val="Arial"/>
        <family val="2"/>
        <charset val="204"/>
      </rPr>
      <t>ойма-ой ўсиб бориш</t>
    </r>
    <r>
      <rPr>
        <b/>
        <sz val="20"/>
        <color indexed="8"/>
        <rFont val="Arial"/>
        <family val="2"/>
        <charset val="204"/>
      </rPr>
      <t xml:space="preserve"> тартиби тўғрисида 
МАЪЛУМОТ</t>
    </r>
  </si>
  <si>
    <t xml:space="preserve"> </t>
  </si>
  <si>
    <t>Навоий</t>
  </si>
  <si>
    <t>Термиз</t>
  </si>
  <si>
    <t>Гулистон</t>
  </si>
  <si>
    <t>Жиззах</t>
  </si>
  <si>
    <t>Самарқанд</t>
  </si>
  <si>
    <t>Зангиота</t>
  </si>
  <si>
    <t>Наманган</t>
  </si>
  <si>
    <t>Фарғона</t>
  </si>
  <si>
    <t>Қарши</t>
  </si>
  <si>
    <t>Ургенч</t>
  </si>
  <si>
    <t>Нукус</t>
  </si>
  <si>
    <t>Шахрисабз</t>
  </si>
  <si>
    <t>Чилонзор</t>
  </si>
  <si>
    <t>МАБ</t>
  </si>
  <si>
    <t>Яшнобод</t>
  </si>
  <si>
    <t>Миробод</t>
  </si>
  <si>
    <t>Юнусобод</t>
  </si>
  <si>
    <t>Банкни стратегик ривожлантириш масаласида</t>
  </si>
  <si>
    <t>Юридик масаласида</t>
  </si>
  <si>
    <t xml:space="preserve">ТИФ ва конвертация масаласида </t>
  </si>
  <si>
    <t>Банк рискларини бошқариш масаласида</t>
  </si>
  <si>
    <t>Ғазначилик ва қимматли қоғозлар масаласида</t>
  </si>
  <si>
    <t>Июл</t>
  </si>
  <si>
    <t>Август</t>
  </si>
  <si>
    <t>01.10.2021 ҳолатида</t>
  </si>
  <si>
    <t>Сентябр</t>
  </si>
  <si>
    <t>01.10.2021 йил холатига</t>
  </si>
  <si>
    <r>
      <t xml:space="preserve">"ТУРОНБАНК" АТБ тизимида 2021 йил 9 ойи давомида  ЖАМИ келиб тушган </t>
    </r>
    <r>
      <rPr>
        <b/>
        <u/>
        <sz val="14"/>
        <color indexed="8"/>
        <rFont val="Arial"/>
        <family val="2"/>
        <charset val="204"/>
      </rPr>
      <t>мурожаатлар</t>
    </r>
    <r>
      <rPr>
        <b/>
        <sz val="14"/>
        <color indexed="8"/>
        <rFont val="Arial"/>
        <family val="2"/>
        <charset val="204"/>
      </rPr>
      <t xml:space="preserve"> бўйича филиаллар ва таснифлар кесимида 
МАЪЛУМОТ</t>
    </r>
  </si>
  <si>
    <r>
      <t xml:space="preserve">"ТУРОНБАНК" АТБ тизимида 2021 йил 9 ойи давомида  ЖАМИ келиб тушган мурожаатлар ва масалаларнинг </t>
    </r>
    <r>
      <rPr>
        <b/>
        <u/>
        <sz val="16"/>
        <color indexed="8"/>
        <rFont val="Arial"/>
        <family val="2"/>
        <charset val="204"/>
      </rPr>
      <t>кўриб чикиш натижалари</t>
    </r>
    <r>
      <rPr>
        <b/>
        <sz val="16"/>
        <color indexed="8"/>
        <rFont val="Arial"/>
        <family val="2"/>
        <charset val="204"/>
      </rPr>
      <t xml:space="preserve"> тўғрисида филиаллар кесимида 
МАЪЛУМОТ</t>
    </r>
  </si>
  <si>
    <t>ижрода</t>
  </si>
  <si>
    <t>Ички аудит департаменти</t>
  </si>
  <si>
    <r>
      <t xml:space="preserve">"ТУРОНБАНК" АТБ тизимида 2021 йил 9 ойи давомида  ЖАМИ келиб тушган мурожаатларни </t>
    </r>
    <r>
      <rPr>
        <b/>
        <u/>
        <sz val="14"/>
        <color indexed="8"/>
        <rFont val="Arial"/>
        <family val="2"/>
        <charset val="204"/>
      </rPr>
      <t>кўриб чиқиш муддатлари</t>
    </r>
    <r>
      <rPr>
        <b/>
        <sz val="14"/>
        <color indexed="8"/>
        <rFont val="Arial"/>
        <family val="2"/>
        <charset val="204"/>
      </rPr>
      <t xml:space="preserve">  бўйича филиаллар ва департаментлар кесимида МАЪЛУМОТ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</si>
</sst>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%"/>
    <numFmt numFmtId="166" formatCode="_-* #,##0.0_р_._-;\-* #,##0.0_р_._-;_-* &quot;-&quot;??_р_._-;_-@_-"/>
    <numFmt numFmtId="167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u/>
      <sz val="20"/>
      <color indexed="8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u/>
      <sz val="16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26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 applyBorder="1"/>
    <xf numFmtId="0" fontId="4" fillId="2" borderId="3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65" fontId="7" fillId="2" borderId="35" xfId="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0" fillId="0" borderId="0" xfId="0"/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 wrapText="1"/>
    </xf>
    <xf numFmtId="165" fontId="7" fillId="2" borderId="16" xfId="1" applyNumberFormat="1" applyFont="1" applyFill="1" applyBorder="1" applyAlignment="1">
      <alignment horizontal="center" vertical="center" wrapText="1"/>
    </xf>
    <xf numFmtId="165" fontId="5" fillId="2" borderId="16" xfId="1" applyNumberFormat="1" applyFont="1" applyFill="1" applyBorder="1" applyAlignment="1">
      <alignment horizontal="center" vertical="center" wrapText="1"/>
    </xf>
    <xf numFmtId="165" fontId="5" fillId="2" borderId="16" xfId="1" applyNumberFormat="1" applyFont="1" applyFill="1" applyBorder="1" applyAlignment="1">
      <alignment horizontal="center" vertical="center"/>
    </xf>
    <xf numFmtId="165" fontId="7" fillId="2" borderId="44" xfId="1" applyNumberFormat="1" applyFont="1" applyFill="1" applyBorder="1" applyAlignment="1">
      <alignment horizontal="center" vertical="center" wrapText="1"/>
    </xf>
    <xf numFmtId="165" fontId="5" fillId="2" borderId="44" xfId="1" applyNumberFormat="1" applyFont="1" applyFill="1" applyBorder="1" applyAlignment="1">
      <alignment horizontal="center" vertical="center" wrapText="1"/>
    </xf>
    <xf numFmtId="165" fontId="5" fillId="2" borderId="44" xfId="1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165" fontId="5" fillId="2" borderId="18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5" fontId="7" fillId="2" borderId="18" xfId="1" applyNumberFormat="1" applyFont="1" applyFill="1" applyBorder="1" applyAlignment="1">
      <alignment horizontal="center" vertical="center" wrapText="1"/>
    </xf>
    <xf numFmtId="165" fontId="5" fillId="2" borderId="18" xfId="1" applyNumberFormat="1" applyFont="1" applyFill="1" applyBorder="1" applyAlignment="1">
      <alignment horizontal="center" vertical="center"/>
    </xf>
    <xf numFmtId="165" fontId="7" fillId="2" borderId="48" xfId="1" applyNumberFormat="1" applyFont="1" applyFill="1" applyBorder="1" applyAlignment="1">
      <alignment horizontal="center" vertical="center" wrapText="1"/>
    </xf>
    <xf numFmtId="166" fontId="7" fillId="2" borderId="16" xfId="5" applyNumberFormat="1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9" fontId="7" fillId="3" borderId="46" xfId="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65" fontId="7" fillId="3" borderId="28" xfId="1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165" fontId="5" fillId="3" borderId="28" xfId="1" applyNumberFormat="1" applyFont="1" applyFill="1" applyBorder="1" applyAlignment="1">
      <alignment horizontal="center" vertical="center" wrapText="1"/>
    </xf>
    <xf numFmtId="165" fontId="5" fillId="3" borderId="5" xfId="1" applyNumberFormat="1" applyFont="1" applyFill="1" applyBorder="1" applyAlignment="1">
      <alignment horizontal="center" vertical="center" wrapText="1"/>
    </xf>
    <xf numFmtId="165" fontId="5" fillId="3" borderId="28" xfId="1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5" fontId="7" fillId="3" borderId="4" xfId="1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wrapText="1"/>
    </xf>
    <xf numFmtId="165" fontId="5" fillId="3" borderId="46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17" fillId="2" borderId="10" xfId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5" fontId="17" fillId="2" borderId="30" xfId="1" applyNumberFormat="1" applyFont="1" applyFill="1" applyBorder="1" applyAlignment="1">
      <alignment horizontal="center" vertical="center" wrapText="1"/>
    </xf>
    <xf numFmtId="165" fontId="17" fillId="2" borderId="11" xfId="1" applyNumberFormat="1" applyFont="1" applyFill="1" applyBorder="1" applyAlignment="1">
      <alignment horizontal="center" vertical="center" wrapText="1"/>
    </xf>
    <xf numFmtId="165" fontId="17" fillId="2" borderId="21" xfId="1" applyNumberFormat="1" applyFont="1" applyFill="1" applyBorder="1" applyAlignment="1">
      <alignment horizontal="center" vertical="center" wrapText="1"/>
    </xf>
    <xf numFmtId="166" fontId="4" fillId="2" borderId="16" xfId="5" applyNumberFormat="1" applyFont="1" applyFill="1" applyBorder="1" applyAlignment="1">
      <alignment horizontal="left" vertical="center" wrapText="1"/>
    </xf>
    <xf numFmtId="165" fontId="17" fillId="2" borderId="32" xfId="1" applyNumberFormat="1" applyFont="1" applyFill="1" applyBorder="1" applyAlignment="1">
      <alignment horizontal="center" vertical="center" wrapText="1"/>
    </xf>
    <xf numFmtId="165" fontId="17" fillId="2" borderId="24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1" fillId="0" borderId="18" xfId="1" applyNumberFormat="1" applyFont="1" applyFill="1" applyBorder="1" applyAlignment="1">
      <alignment horizontal="center" vertical="center" wrapText="1"/>
    </xf>
    <xf numFmtId="165" fontId="11" fillId="0" borderId="16" xfId="1" applyNumberFormat="1" applyFont="1" applyFill="1" applyBorder="1" applyAlignment="1">
      <alignment horizontal="center" vertical="center" wrapText="1"/>
    </xf>
    <xf numFmtId="166" fontId="4" fillId="0" borderId="16" xfId="5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165" fontId="5" fillId="3" borderId="5" xfId="1" applyNumberFormat="1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64" fontId="7" fillId="2" borderId="16" xfId="5" applyFont="1" applyFill="1" applyBorder="1" applyAlignment="1">
      <alignment horizontal="center" vertical="center"/>
    </xf>
    <xf numFmtId="167" fontId="7" fillId="2" borderId="16" xfId="5" applyNumberFormat="1" applyFont="1" applyFill="1" applyBorder="1" applyAlignment="1">
      <alignment horizontal="center" vertical="center"/>
    </xf>
    <xf numFmtId="167" fontId="7" fillId="2" borderId="44" xfId="5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 wrapText="1"/>
    </xf>
    <xf numFmtId="165" fontId="17" fillId="2" borderId="20" xfId="1" applyNumberFormat="1" applyFont="1" applyFill="1" applyBorder="1" applyAlignment="1">
      <alignment horizontal="center" vertical="center" wrapText="1"/>
    </xf>
    <xf numFmtId="166" fontId="4" fillId="2" borderId="1" xfId="5" applyNumberFormat="1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/>
    <xf numFmtId="167" fontId="7" fillId="0" borderId="18" xfId="5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 wrapText="1"/>
    </xf>
    <xf numFmtId="0" fontId="4" fillId="2" borderId="50" xfId="0" applyNumberFormat="1" applyFont="1" applyFill="1" applyBorder="1" applyAlignment="1">
      <alignment horizontal="center" vertical="center" wrapText="1"/>
    </xf>
    <xf numFmtId="166" fontId="4" fillId="2" borderId="33" xfId="5" applyNumberFormat="1" applyFont="1" applyFill="1" applyBorder="1" applyAlignment="1">
      <alignment horizontal="left" vertical="center" wrapText="1"/>
    </xf>
    <xf numFmtId="0" fontId="4" fillId="2" borderId="33" xfId="0" applyNumberFormat="1" applyFont="1" applyFill="1" applyBorder="1" applyAlignment="1">
      <alignment horizontal="center" vertical="center" wrapText="1"/>
    </xf>
    <xf numFmtId="166" fontId="4" fillId="2" borderId="34" xfId="5" applyNumberFormat="1" applyFont="1" applyFill="1" applyBorder="1" applyAlignment="1">
      <alignment horizontal="left" vertical="center" wrapText="1"/>
    </xf>
    <xf numFmtId="166" fontId="4" fillId="2" borderId="51" xfId="5" applyNumberFormat="1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center" vertical="center"/>
    </xf>
    <xf numFmtId="165" fontId="5" fillId="3" borderId="27" xfId="1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6" fontId="4" fillId="2" borderId="2" xfId="5" applyNumberFormat="1" applyFont="1" applyFill="1" applyBorder="1" applyAlignment="1">
      <alignment horizontal="left" vertical="center" wrapText="1"/>
    </xf>
    <xf numFmtId="166" fontId="4" fillId="2" borderId="22" xfId="5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165" fontId="5" fillId="2" borderId="10" xfId="1" applyNumberFormat="1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166" fontId="7" fillId="2" borderId="54" xfId="5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165" fontId="5" fillId="2" borderId="20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5" fillId="2" borderId="21" xfId="1" applyNumberFormat="1" applyFont="1" applyFill="1" applyBorder="1" applyAlignment="1">
      <alignment horizontal="center" vertical="center" wrapText="1"/>
    </xf>
    <xf numFmtId="166" fontId="7" fillId="2" borderId="2" xfId="5" applyNumberFormat="1" applyFont="1" applyFill="1" applyBorder="1" applyAlignment="1">
      <alignment horizontal="left" vertical="center" wrapText="1"/>
    </xf>
    <xf numFmtId="165" fontId="5" fillId="2" borderId="53" xfId="1" applyNumberFormat="1" applyFont="1" applyFill="1" applyBorder="1" applyAlignment="1">
      <alignment horizontal="center" vertical="center" wrapText="1"/>
    </xf>
    <xf numFmtId="165" fontId="5" fillId="2" borderId="11" xfId="1" applyNumberFormat="1" applyFont="1" applyFill="1" applyBorder="1" applyAlignment="1">
      <alignment horizontal="center" vertical="center" wrapText="1"/>
    </xf>
    <xf numFmtId="165" fontId="5" fillId="2" borderId="55" xfId="1" applyNumberFormat="1" applyFont="1" applyFill="1" applyBorder="1" applyAlignment="1">
      <alignment horizontal="center" vertical="center" wrapText="1"/>
    </xf>
    <xf numFmtId="165" fontId="11" fillId="0" borderId="30" xfId="1" applyNumberFormat="1" applyFont="1" applyFill="1" applyBorder="1" applyAlignment="1">
      <alignment horizontal="center" vertical="center" wrapText="1"/>
    </xf>
    <xf numFmtId="165" fontId="11" fillId="0" borderId="2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5" fontId="11" fillId="0" borderId="20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6" fontId="4" fillId="0" borderId="2" xfId="5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166" fontId="4" fillId="0" borderId="1" xfId="5" applyNumberFormat="1" applyFont="1" applyFill="1" applyBorder="1" applyAlignment="1">
      <alignment horizontal="left" vertical="center" wrapText="1"/>
    </xf>
    <xf numFmtId="166" fontId="4" fillId="0" borderId="22" xfId="5" applyNumberFormat="1" applyFont="1" applyFill="1" applyBorder="1" applyAlignment="1">
      <alignment horizontal="left" vertical="center" wrapText="1"/>
    </xf>
    <xf numFmtId="165" fontId="11" fillId="0" borderId="24" xfId="1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65" fontId="11" fillId="0" borderId="15" xfId="1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65" fontId="11" fillId="0" borderId="20" xfId="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65" fontId="11" fillId="0" borderId="30" xfId="1" applyNumberFormat="1" applyFont="1" applyFill="1" applyBorder="1" applyAlignment="1">
      <alignment horizontal="center" vertical="center"/>
    </xf>
    <xf numFmtId="165" fontId="11" fillId="0" borderId="21" xfId="1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65" fontId="11" fillId="0" borderId="23" xfId="1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166" fontId="4" fillId="0" borderId="23" xfId="5" applyNumberFormat="1" applyFont="1" applyFill="1" applyBorder="1" applyAlignment="1">
      <alignment horizontal="left" vertical="center" wrapText="1"/>
    </xf>
    <xf numFmtId="165" fontId="11" fillId="0" borderId="24" xfId="1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65" fontId="18" fillId="0" borderId="20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18" fillId="0" borderId="30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18" fillId="0" borderId="21" xfId="1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65" fontId="18" fillId="0" borderId="24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</cellXfs>
  <cellStyles count="6">
    <cellStyle name="Обычный" xfId="0" builtinId="0"/>
    <cellStyle name="Процентный" xfId="1" builtinId="5"/>
    <cellStyle name="Финансовый" xfId="5" builtinId="3"/>
    <cellStyle name="Финансовый 2" xfId="3" xr:uid="{00000000-0005-0000-0000-000003000000}"/>
    <cellStyle name="Финансовый 3" xfId="4" xr:uid="{00000000-0005-0000-0000-000004000000}"/>
    <cellStyle name="Финансовый 4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.158\Users\User\Desktop\&#1061;&#1048;&#1057;&#1054;&#1041;&#1054;&#1058;%20&#1052;&#1041;\&#1052;&#1041;%20&#1061;&#1080;&#1089;&#1086;&#1073;&#1086;&#1090;&#1080;%20%202021%20&#1081;&#1080;&#1083;\&#1061;&#1048;&#1057;&#1054;&#1041;&#1054;&#1058;%20&#1052;&#1041;%20&#1040;&#1055;&#1056;&#1045;&#1051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.09.2021-30.09.2021&#1093;&#1086;&#1083;&#1072;&#1090;&#1080;&#1075;&#1072;%20&#1093;&#1080;&#1089;&#1086;&#1073;&#1086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"/>
      <sheetName val="Ўзгартирилмасин"/>
      <sheetName val="Масалалар"/>
      <sheetName val="Лист7"/>
      <sheetName val="ХИСОБОТ МБ АПРЕЛ 2021"/>
    </sheetNames>
    <sheetDataSet>
      <sheetData sheetId="0"/>
      <sheetData sheetId="1"/>
      <sheetData sheetId="2">
        <row r="3">
          <cell r="A3" t="str">
            <v>Банклар_ва_кредит_ташкилотларни_ташкил_этиш_ва_лицензиялаш</v>
          </cell>
          <cell r="B3" t="str">
            <v>Банклар_ва_кредит_ташкилотларни_тугатиш_тартиби</v>
          </cell>
          <cell r="C3" t="str">
            <v>Нақд_пул_масаласида</v>
          </cell>
          <cell r="D3" t="str">
            <v>Банк_омонати_ва_бошқа_депозит_операциялари</v>
          </cell>
          <cell r="E3" t="str">
            <v>Банк_кредитлари_ва_кредит_операциялари</v>
          </cell>
          <cell r="F3" t="str">
            <v>Валютани_тартибга_солиш_ва_валютани_назорат_қилиш</v>
          </cell>
          <cell r="G3" t="str">
            <v>Банк_ҳисобрақамларини_очиш_ва_юритиш_тартиби</v>
          </cell>
          <cell r="H3" t="str">
            <v>Инкассация_тизими_масаласида</v>
          </cell>
          <cell r="I3" t="str">
            <v>Пластик_карточка_ва_терминаллар_масаласида</v>
          </cell>
          <cell r="J3" t="str">
            <v>Тўлов_тизими_ва_нақд_пулсиз_ҳисоб_китоблар_масаласида</v>
          </cell>
          <cell r="K3" t="str">
            <v>Банк_ахборот_технологиялари_ва_коммуникациялари_масаласида</v>
          </cell>
          <cell r="L3" t="str">
            <v>Нафақа_пулларини_олиш_масаласида</v>
          </cell>
          <cell r="M3" t="str">
            <v>Иш_масаласида</v>
          </cell>
          <cell r="N3" t="str">
            <v>Қимматли_қоғозлар_масаласида</v>
          </cell>
          <cell r="O3" t="str">
            <v>Банк_тизими_юзасидан_таклифлар</v>
          </cell>
          <cell r="P3" t="str">
            <v>Раҳбарият_қабули_масаласида</v>
          </cell>
          <cell r="Q3" t="str">
            <v>Банк_ходимларининг_хатти_ҳаракатлари_масаласида</v>
          </cell>
          <cell r="R3" t="str">
            <v xml:space="preserve">Моддий_ёрдам_олиш_масаласида </v>
          </cell>
          <cell r="S3" t="str">
            <v>Бошқа_масалалар</v>
          </cell>
        </row>
      </sheetData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ами мурожаатлар"/>
      <sheetName val="Ойма ой 2"/>
      <sheetName val="Куриб чикиш натижаси"/>
      <sheetName val="Кўриб чикиш муддати"/>
    </sheetNames>
    <sheetDataSet>
      <sheetData sheetId="0"/>
      <sheetData sheetId="1"/>
      <sheetData sheetId="2">
        <row r="6">
          <cell r="B6" t="str">
            <v>Навоий</v>
          </cell>
          <cell r="C6">
            <v>8</v>
          </cell>
          <cell r="D6">
            <v>7</v>
          </cell>
          <cell r="E6">
            <v>0.875</v>
          </cell>
          <cell r="F6">
            <v>0</v>
          </cell>
          <cell r="G6">
            <v>0</v>
          </cell>
          <cell r="H6">
            <v>7</v>
          </cell>
          <cell r="I6">
            <v>0.875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</v>
          </cell>
        </row>
        <row r="7">
          <cell r="B7" t="str">
            <v>Термиз</v>
          </cell>
          <cell r="C7">
            <v>7</v>
          </cell>
          <cell r="D7">
            <v>5</v>
          </cell>
          <cell r="E7">
            <v>0.7142857142857143</v>
          </cell>
          <cell r="F7">
            <v>0</v>
          </cell>
          <cell r="G7">
            <v>0</v>
          </cell>
          <cell r="H7">
            <v>4</v>
          </cell>
          <cell r="I7">
            <v>0.5714285714285714</v>
          </cell>
          <cell r="J7">
            <v>1</v>
          </cell>
          <cell r="K7">
            <v>0.14285714285714285</v>
          </cell>
          <cell r="L7">
            <v>0</v>
          </cell>
          <cell r="M7">
            <v>0</v>
          </cell>
          <cell r="N7">
            <v>0</v>
          </cell>
          <cell r="O7">
            <v>2</v>
          </cell>
        </row>
        <row r="8">
          <cell r="B8" t="str">
            <v>Андижон</v>
          </cell>
          <cell r="C8">
            <v>7</v>
          </cell>
          <cell r="D8">
            <v>7</v>
          </cell>
          <cell r="E8">
            <v>1</v>
          </cell>
          <cell r="F8">
            <v>1</v>
          </cell>
          <cell r="G8">
            <v>0.14285714285714285</v>
          </cell>
          <cell r="H8">
            <v>4</v>
          </cell>
          <cell r="I8">
            <v>0.5714285714285714</v>
          </cell>
          <cell r="J8">
            <v>2</v>
          </cell>
          <cell r="K8">
            <v>0.2857142857142857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Гулистон</v>
          </cell>
          <cell r="C9">
            <v>5</v>
          </cell>
          <cell r="D9">
            <v>4</v>
          </cell>
          <cell r="E9">
            <v>0.8</v>
          </cell>
          <cell r="F9">
            <v>3</v>
          </cell>
          <cell r="G9">
            <v>0.6</v>
          </cell>
          <cell r="H9">
            <v>0</v>
          </cell>
          <cell r="I9">
            <v>0</v>
          </cell>
          <cell r="J9">
            <v>1</v>
          </cell>
          <cell r="K9">
            <v>0.2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</row>
        <row r="10">
          <cell r="B10" t="str">
            <v>Шахрисабз</v>
          </cell>
          <cell r="C10">
            <v>5</v>
          </cell>
          <cell r="D10">
            <v>4</v>
          </cell>
          <cell r="E10">
            <v>0.8</v>
          </cell>
          <cell r="F10">
            <v>0</v>
          </cell>
          <cell r="G10">
            <v>0</v>
          </cell>
          <cell r="H10">
            <v>4</v>
          </cell>
          <cell r="I10">
            <v>0.8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</row>
        <row r="11">
          <cell r="B11" t="str">
            <v>Зангиота</v>
          </cell>
          <cell r="C11">
            <v>5</v>
          </cell>
          <cell r="D11">
            <v>4</v>
          </cell>
          <cell r="E11">
            <v>0.8</v>
          </cell>
          <cell r="F11">
            <v>0</v>
          </cell>
          <cell r="G11">
            <v>0</v>
          </cell>
          <cell r="H11">
            <v>4</v>
          </cell>
          <cell r="I11">
            <v>0.8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</row>
        <row r="12">
          <cell r="B12" t="str">
            <v>Самарқанд</v>
          </cell>
          <cell r="C12">
            <v>4</v>
          </cell>
          <cell r="D12">
            <v>3</v>
          </cell>
          <cell r="E12">
            <v>0.75</v>
          </cell>
          <cell r="F12">
            <v>1</v>
          </cell>
          <cell r="G12">
            <v>0.25</v>
          </cell>
          <cell r="H12">
            <v>1</v>
          </cell>
          <cell r="I12">
            <v>0.25</v>
          </cell>
          <cell r="J12">
            <v>0</v>
          </cell>
          <cell r="K12">
            <v>0</v>
          </cell>
          <cell r="L12">
            <v>1</v>
          </cell>
          <cell r="M12">
            <v>0.25</v>
          </cell>
          <cell r="N12">
            <v>0</v>
          </cell>
          <cell r="O12">
            <v>1</v>
          </cell>
        </row>
        <row r="13">
          <cell r="B13" t="str">
            <v>Мирзо-Улугбек</v>
          </cell>
          <cell r="C13">
            <v>3</v>
          </cell>
          <cell r="D13">
            <v>3</v>
          </cell>
          <cell r="E13">
            <v>1</v>
          </cell>
          <cell r="F13">
            <v>0</v>
          </cell>
          <cell r="G13">
            <v>0</v>
          </cell>
          <cell r="H13">
            <v>3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Яшнобод</v>
          </cell>
          <cell r="C14">
            <v>3</v>
          </cell>
          <cell r="D14">
            <v>2</v>
          </cell>
          <cell r="E14">
            <v>0.66666666666666663</v>
          </cell>
          <cell r="F14">
            <v>0</v>
          </cell>
          <cell r="G14">
            <v>0</v>
          </cell>
          <cell r="H14">
            <v>1</v>
          </cell>
          <cell r="I14">
            <v>0.33333333333333331</v>
          </cell>
          <cell r="J14">
            <v>1</v>
          </cell>
          <cell r="K14">
            <v>0.33333333333333331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</row>
        <row r="15">
          <cell r="B15" t="str">
            <v>Қарши</v>
          </cell>
          <cell r="C15">
            <v>3</v>
          </cell>
          <cell r="D15">
            <v>3</v>
          </cell>
          <cell r="E15">
            <v>1</v>
          </cell>
          <cell r="F15">
            <v>0</v>
          </cell>
          <cell r="G15">
            <v>0</v>
          </cell>
          <cell r="H15">
            <v>3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Жиззах</v>
          </cell>
          <cell r="C16">
            <v>2</v>
          </cell>
          <cell r="D16">
            <v>1</v>
          </cell>
          <cell r="E16">
            <v>0.5</v>
          </cell>
          <cell r="F16">
            <v>0</v>
          </cell>
          <cell r="G16">
            <v>0</v>
          </cell>
          <cell r="H16">
            <v>1</v>
          </cell>
          <cell r="I16">
            <v>0.5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</row>
        <row r="17">
          <cell r="B17" t="str">
            <v>Наманган</v>
          </cell>
          <cell r="C17">
            <v>2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Нукус</v>
          </cell>
          <cell r="C18">
            <v>2</v>
          </cell>
          <cell r="D18">
            <v>2</v>
          </cell>
          <cell r="E18">
            <v>1</v>
          </cell>
          <cell r="F18">
            <v>0</v>
          </cell>
          <cell r="G18">
            <v>0</v>
          </cell>
          <cell r="H18">
            <v>2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Фарғона</v>
          </cell>
          <cell r="C19">
            <v>2</v>
          </cell>
          <cell r="D19">
            <v>2</v>
          </cell>
          <cell r="E19">
            <v>1</v>
          </cell>
          <cell r="F19">
            <v>0</v>
          </cell>
          <cell r="G19">
            <v>0</v>
          </cell>
          <cell r="H19">
            <v>1</v>
          </cell>
          <cell r="I19">
            <v>0.5</v>
          </cell>
          <cell r="J19">
            <v>1</v>
          </cell>
          <cell r="K19">
            <v>0.5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Бухоро</v>
          </cell>
          <cell r="C20">
            <v>1</v>
          </cell>
          <cell r="D20">
            <v>1</v>
          </cell>
          <cell r="E20">
            <v>1</v>
          </cell>
          <cell r="F20">
            <v>0</v>
          </cell>
          <cell r="G20">
            <v>0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Чилонзор</v>
          </cell>
          <cell r="C21">
            <v>1</v>
          </cell>
          <cell r="D21">
            <v>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Миробод</v>
          </cell>
          <cell r="C22">
            <v>1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Бош банк</v>
          </cell>
          <cell r="C23">
            <v>1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Ургенч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Юнусобод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МАБ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</sheetData>
      <sheetData sheetId="3">
        <row r="6">
          <cell r="B6" t="str">
            <v>Навоий</v>
          </cell>
          <cell r="C6">
            <v>8</v>
          </cell>
          <cell r="D6">
            <v>7</v>
          </cell>
          <cell r="E6">
            <v>0.875</v>
          </cell>
          <cell r="F6">
            <v>2</v>
          </cell>
          <cell r="G6">
            <v>0.25</v>
          </cell>
          <cell r="H6">
            <v>4</v>
          </cell>
          <cell r="I6">
            <v>0.5</v>
          </cell>
          <cell r="J6">
            <v>1</v>
          </cell>
          <cell r="K6">
            <v>0.125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</v>
          </cell>
        </row>
        <row r="7">
          <cell r="B7" t="str">
            <v>Термиз</v>
          </cell>
          <cell r="C7">
            <v>7</v>
          </cell>
          <cell r="D7">
            <v>5</v>
          </cell>
          <cell r="E7">
            <v>0.7142857142857143</v>
          </cell>
          <cell r="F7">
            <v>0</v>
          </cell>
          <cell r="G7">
            <v>0</v>
          </cell>
          <cell r="H7">
            <v>2</v>
          </cell>
          <cell r="I7">
            <v>0.2857142857142857</v>
          </cell>
          <cell r="J7">
            <v>3</v>
          </cell>
          <cell r="K7">
            <v>0.42857142857142855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</v>
          </cell>
        </row>
        <row r="8">
          <cell r="B8" t="str">
            <v>Андижон</v>
          </cell>
          <cell r="C8">
            <v>7</v>
          </cell>
          <cell r="D8">
            <v>7</v>
          </cell>
          <cell r="E8">
            <v>1</v>
          </cell>
          <cell r="F8">
            <v>4</v>
          </cell>
          <cell r="G8">
            <v>0.5714285714285714</v>
          </cell>
          <cell r="H8">
            <v>1</v>
          </cell>
          <cell r="I8">
            <v>0.14285714285714285</v>
          </cell>
          <cell r="J8">
            <v>2</v>
          </cell>
          <cell r="K8">
            <v>0.2857142857142857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 t="str">
            <v>Шахрисабз</v>
          </cell>
          <cell r="C9">
            <v>5</v>
          </cell>
          <cell r="D9">
            <v>4</v>
          </cell>
          <cell r="E9">
            <v>0.8</v>
          </cell>
          <cell r="F9">
            <v>1</v>
          </cell>
          <cell r="G9">
            <v>0.2</v>
          </cell>
          <cell r="H9">
            <v>1</v>
          </cell>
          <cell r="I9">
            <v>0.2</v>
          </cell>
          <cell r="J9">
            <v>2</v>
          </cell>
          <cell r="K9">
            <v>0.4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</v>
          </cell>
        </row>
        <row r="10">
          <cell r="B10" t="str">
            <v>Гулистон</v>
          </cell>
          <cell r="C10">
            <v>5</v>
          </cell>
          <cell r="D10">
            <v>4</v>
          </cell>
          <cell r="E10">
            <v>0.8</v>
          </cell>
          <cell r="F10">
            <v>0</v>
          </cell>
          <cell r="G10">
            <v>0</v>
          </cell>
          <cell r="H10">
            <v>2</v>
          </cell>
          <cell r="I10">
            <v>0.4</v>
          </cell>
          <cell r="J10">
            <v>2</v>
          </cell>
          <cell r="K10">
            <v>0.4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</v>
          </cell>
        </row>
        <row r="11">
          <cell r="B11" t="str">
            <v>Зангиота</v>
          </cell>
          <cell r="C11">
            <v>5</v>
          </cell>
          <cell r="D11">
            <v>4</v>
          </cell>
          <cell r="E11">
            <v>0.8</v>
          </cell>
          <cell r="F11">
            <v>0</v>
          </cell>
          <cell r="G11">
            <v>0</v>
          </cell>
          <cell r="H11">
            <v>3</v>
          </cell>
          <cell r="I11">
            <v>0.6</v>
          </cell>
          <cell r="J11">
            <v>1</v>
          </cell>
          <cell r="K11">
            <v>0.2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</row>
        <row r="12">
          <cell r="B12" t="str">
            <v>Самарқанд</v>
          </cell>
          <cell r="C12">
            <v>4</v>
          </cell>
          <cell r="D12">
            <v>3</v>
          </cell>
          <cell r="E12">
            <v>0.75</v>
          </cell>
          <cell r="F12">
            <v>2</v>
          </cell>
          <cell r="G12">
            <v>0.5</v>
          </cell>
          <cell r="H12">
            <v>1</v>
          </cell>
          <cell r="I12">
            <v>0.25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</v>
          </cell>
        </row>
        <row r="13">
          <cell r="B13" t="str">
            <v>Яшнобод</v>
          </cell>
          <cell r="C13">
            <v>3</v>
          </cell>
          <cell r="D13">
            <v>2</v>
          </cell>
          <cell r="E13">
            <v>0.66666666666666663</v>
          </cell>
          <cell r="F13">
            <v>0</v>
          </cell>
          <cell r="G13">
            <v>0</v>
          </cell>
          <cell r="H13">
            <v>1</v>
          </cell>
          <cell r="I13">
            <v>0.33333333333333331</v>
          </cell>
          <cell r="J13">
            <v>1</v>
          </cell>
          <cell r="K13">
            <v>0.33333333333333331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</row>
        <row r="14">
          <cell r="B14" t="str">
            <v>Қарши</v>
          </cell>
          <cell r="C14">
            <v>3</v>
          </cell>
          <cell r="D14">
            <v>3</v>
          </cell>
          <cell r="E14">
            <v>1</v>
          </cell>
          <cell r="F14">
            <v>0</v>
          </cell>
          <cell r="G14">
            <v>0</v>
          </cell>
          <cell r="H14">
            <v>1</v>
          </cell>
          <cell r="I14">
            <v>0.33333333333333331</v>
          </cell>
          <cell r="J14">
            <v>2</v>
          </cell>
          <cell r="K14">
            <v>0.66666666666666663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Мирзо-Улугбек</v>
          </cell>
          <cell r="C15">
            <v>3</v>
          </cell>
          <cell r="D15">
            <v>3</v>
          </cell>
          <cell r="E15">
            <v>0</v>
          </cell>
          <cell r="F15">
            <v>1</v>
          </cell>
          <cell r="G15">
            <v>0.33333333333333331</v>
          </cell>
          <cell r="H15">
            <v>1</v>
          </cell>
          <cell r="I15">
            <v>0.33333333333333331</v>
          </cell>
          <cell r="J15">
            <v>1</v>
          </cell>
          <cell r="K15">
            <v>0.33333333333333331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Жиззах</v>
          </cell>
          <cell r="C16">
            <v>2</v>
          </cell>
          <cell r="D16">
            <v>1</v>
          </cell>
          <cell r="E16">
            <v>0.5</v>
          </cell>
          <cell r="F16">
            <v>1</v>
          </cell>
          <cell r="G16">
            <v>0.5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</v>
          </cell>
        </row>
        <row r="17">
          <cell r="B17" t="str">
            <v>Наманган</v>
          </cell>
          <cell r="C17">
            <v>2</v>
          </cell>
          <cell r="D17">
            <v>2</v>
          </cell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 t="str">
            <v>Нукус</v>
          </cell>
          <cell r="C18">
            <v>2</v>
          </cell>
          <cell r="D18">
            <v>2</v>
          </cell>
          <cell r="E18">
            <v>1</v>
          </cell>
          <cell r="F18">
            <v>0</v>
          </cell>
          <cell r="G18">
            <v>0</v>
          </cell>
          <cell r="H18">
            <v>2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Фарғона</v>
          </cell>
          <cell r="C19">
            <v>2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2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 t="str">
            <v>Бош банк</v>
          </cell>
          <cell r="C20">
            <v>1</v>
          </cell>
          <cell r="D20">
            <v>1</v>
          </cell>
          <cell r="E20">
            <v>1</v>
          </cell>
          <cell r="F20">
            <v>0</v>
          </cell>
          <cell r="G20">
            <v>0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>Чилонзор</v>
          </cell>
          <cell r="C21">
            <v>1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Бухоро</v>
          </cell>
          <cell r="C22">
            <v>1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 t="str">
            <v>Миробод</v>
          </cell>
          <cell r="C23">
            <v>1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B24" t="str">
            <v>Ургенч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B25" t="str">
            <v>Юнусобод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B26" t="str">
            <v>МАБ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9">
          <cell r="B29" t="str">
            <v>Чакана хизматлар кўрсатиш департаменти</v>
          </cell>
          <cell r="C29">
            <v>26</v>
          </cell>
          <cell r="D29">
            <v>23</v>
          </cell>
          <cell r="E29">
            <v>0.88461538461538458</v>
          </cell>
          <cell r="F29">
            <v>4</v>
          </cell>
          <cell r="G29">
            <v>0.15384615384615385</v>
          </cell>
          <cell r="H29">
            <v>12</v>
          </cell>
          <cell r="I29">
            <v>0.46153846153846156</v>
          </cell>
          <cell r="J29">
            <v>7</v>
          </cell>
          <cell r="K29">
            <v>0.26923076923076922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</v>
          </cell>
        </row>
        <row r="30">
          <cell r="B30" t="str">
            <v xml:space="preserve">Инвестиция фаолиятини ривожлантириш ва лойихаларни бошқариш Маркази </v>
          </cell>
          <cell r="C30">
            <v>17</v>
          </cell>
          <cell r="D30">
            <v>14</v>
          </cell>
          <cell r="E30">
            <v>0.82352941176470584</v>
          </cell>
          <cell r="F30">
            <v>4</v>
          </cell>
          <cell r="G30">
            <v>0.23529411764705882</v>
          </cell>
          <cell r="H30">
            <v>6</v>
          </cell>
          <cell r="I30">
            <v>0.35294117647058826</v>
          </cell>
          <cell r="J30">
            <v>4</v>
          </cell>
          <cell r="K30">
            <v>0.23529411764705882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3</v>
          </cell>
        </row>
        <row r="31">
          <cell r="B31" t="str">
            <v xml:space="preserve"> Кредитлаш департаменти </v>
          </cell>
          <cell r="C31">
            <v>14</v>
          </cell>
          <cell r="D31">
            <v>12</v>
          </cell>
          <cell r="E31">
            <v>0.8571428571428571</v>
          </cell>
          <cell r="F31">
            <v>1</v>
          </cell>
          <cell r="G31">
            <v>7.1428571428571425E-2</v>
          </cell>
          <cell r="H31">
            <v>7</v>
          </cell>
          <cell r="I31">
            <v>0.5</v>
          </cell>
          <cell r="J31">
            <v>4</v>
          </cell>
          <cell r="K31">
            <v>0.2857142857142857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</v>
          </cell>
        </row>
        <row r="32">
          <cell r="B32" t="str">
            <v xml:space="preserve">Ходимлар билан ишлаш департаменти </v>
          </cell>
          <cell r="C32">
            <v>2</v>
          </cell>
          <cell r="D32">
            <v>2</v>
          </cell>
          <cell r="E32">
            <v>1</v>
          </cell>
          <cell r="F32">
            <v>1</v>
          </cell>
          <cell r="G32">
            <v>0.5</v>
          </cell>
          <cell r="H32">
            <v>0</v>
          </cell>
          <cell r="I32">
            <v>0</v>
          </cell>
          <cell r="J32">
            <v>1</v>
          </cell>
          <cell r="K32">
            <v>0.5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B33" t="str">
            <v xml:space="preserve">Бухгалтерия ҳисоби  департаменти </v>
          </cell>
          <cell r="C33">
            <v>2</v>
          </cell>
          <cell r="D33">
            <v>1</v>
          </cell>
          <cell r="E33">
            <v>0.5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0.5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</row>
        <row r="34">
          <cell r="B34" t="str">
            <v xml:space="preserve">Юридик департаменти </v>
          </cell>
          <cell r="C34">
            <v>1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B35" t="str">
            <v>Ғазначилик ва қимматли қоғозлар масаласида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B36" t="str">
            <v>Банкни стратегик ривожлантириш масаласида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 t="str">
            <v>Банк рискларини бошқариш департаменти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 t="str">
            <v>Бошқа масалалар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 t="str">
            <v xml:space="preserve">ТИФ департаменти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>Ички аудит департаменти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1"/>
  <sheetViews>
    <sheetView view="pageBreakPreview" zoomScale="60" zoomScaleNormal="85" workbookViewId="0">
      <pane xSplit="2" ySplit="5" topLeftCell="C12" activePane="bottomRight" state="frozen"/>
      <selection pane="topRight" activeCell="C1" sqref="C1"/>
      <selection pane="bottomLeft" activeCell="A5" sqref="A5"/>
      <selection pane="bottomRight" activeCell="P38" sqref="P38:P39"/>
    </sheetView>
  </sheetViews>
  <sheetFormatPr defaultRowHeight="14.25" x14ac:dyDescent="0.2"/>
  <cols>
    <col min="1" max="1" width="4.28515625" style="1" customWidth="1"/>
    <col min="2" max="2" width="36.5703125" style="2" customWidth="1"/>
    <col min="3" max="8" width="12.5703125" style="2" customWidth="1"/>
    <col min="9" max="18" width="12.5703125" style="1" customWidth="1"/>
    <col min="19" max="19" width="11.85546875" style="1" bestFit="1" customWidth="1"/>
    <col min="20" max="22" width="9.140625" style="14"/>
    <col min="23" max="16384" width="9.140625" style="1"/>
  </cols>
  <sheetData>
    <row r="1" spans="1:25" ht="42.75" customHeight="1" x14ac:dyDescent="0.2">
      <c r="A1" s="190" t="s">
        <v>105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25" s="14" customFormat="1" ht="23.25" customHeight="1" thickBo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208" t="s">
        <v>104</v>
      </c>
      <c r="Q2" s="208"/>
      <c r="R2" s="208"/>
    </row>
    <row r="3" spans="1:25" ht="22.5" customHeight="1" thickBot="1" x14ac:dyDescent="0.25">
      <c r="A3" s="200" t="s">
        <v>0</v>
      </c>
      <c r="B3" s="200" t="s">
        <v>1</v>
      </c>
      <c r="C3" s="196" t="s">
        <v>36</v>
      </c>
      <c r="D3" s="197"/>
      <c r="E3" s="196" t="s">
        <v>48</v>
      </c>
      <c r="F3" s="197"/>
      <c r="G3" s="203" t="s">
        <v>49</v>
      </c>
      <c r="H3" s="204"/>
      <c r="I3" s="204"/>
      <c r="J3" s="204"/>
      <c r="K3" s="204"/>
      <c r="L3" s="204"/>
      <c r="M3" s="204"/>
      <c r="N3" s="205"/>
      <c r="O3" s="196" t="s">
        <v>34</v>
      </c>
      <c r="P3" s="197"/>
      <c r="Q3" s="196" t="s">
        <v>16</v>
      </c>
      <c r="R3" s="197"/>
    </row>
    <row r="4" spans="1:25" s="3" customFormat="1" ht="69" customHeight="1" thickBot="1" x14ac:dyDescent="0.3">
      <c r="A4" s="201"/>
      <c r="B4" s="201"/>
      <c r="C4" s="206"/>
      <c r="D4" s="207"/>
      <c r="E4" s="198"/>
      <c r="F4" s="199"/>
      <c r="G4" s="194" t="s">
        <v>32</v>
      </c>
      <c r="H4" s="195"/>
      <c r="I4" s="194" t="s">
        <v>31</v>
      </c>
      <c r="J4" s="195"/>
      <c r="K4" s="194" t="s">
        <v>35</v>
      </c>
      <c r="L4" s="195"/>
      <c r="M4" s="194" t="s">
        <v>15</v>
      </c>
      <c r="N4" s="195"/>
      <c r="O4" s="198"/>
      <c r="P4" s="199"/>
      <c r="Q4" s="198"/>
      <c r="R4" s="199"/>
    </row>
    <row r="5" spans="1:25" s="3" customFormat="1" ht="23.25" customHeight="1" thickBot="1" x14ac:dyDescent="0.3">
      <c r="A5" s="202"/>
      <c r="B5" s="202"/>
      <c r="C5" s="37" t="s">
        <v>37</v>
      </c>
      <c r="D5" s="38" t="s">
        <v>38</v>
      </c>
      <c r="E5" s="37" t="s">
        <v>37</v>
      </c>
      <c r="F5" s="38" t="s">
        <v>38</v>
      </c>
      <c r="G5" s="37" t="s">
        <v>37</v>
      </c>
      <c r="H5" s="38" t="s">
        <v>38</v>
      </c>
      <c r="I5" s="37" t="s">
        <v>37</v>
      </c>
      <c r="J5" s="39" t="s">
        <v>38</v>
      </c>
      <c r="K5" s="37" t="s">
        <v>37</v>
      </c>
      <c r="L5" s="38" t="s">
        <v>38</v>
      </c>
      <c r="M5" s="37" t="s">
        <v>37</v>
      </c>
      <c r="N5" s="38" t="s">
        <v>38</v>
      </c>
      <c r="O5" s="40" t="s">
        <v>37</v>
      </c>
      <c r="P5" s="39" t="s">
        <v>38</v>
      </c>
      <c r="Q5" s="37" t="s">
        <v>37</v>
      </c>
      <c r="R5" s="38" t="s">
        <v>38</v>
      </c>
    </row>
    <row r="6" spans="1:25" ht="21" customHeight="1" x14ac:dyDescent="0.2">
      <c r="A6" s="30">
        <v>1</v>
      </c>
      <c r="B6" s="19" t="s">
        <v>78</v>
      </c>
      <c r="C6" s="19">
        <f t="shared" ref="C6:C26" si="0">+G6+I6+K6+O6+M6+Q6</f>
        <v>134</v>
      </c>
      <c r="D6" s="33">
        <f t="shared" ref="D6:D26" si="1">+C6/X6</f>
        <v>0.18662952646239556</v>
      </c>
      <c r="E6" s="19">
        <f t="shared" ref="E6:E26" si="2">+G6+I6+K6+M6</f>
        <v>112</v>
      </c>
      <c r="F6" s="33">
        <f t="shared" ref="F6:F26" si="3">+E6/C6</f>
        <v>0.83582089552238803</v>
      </c>
      <c r="G6" s="19">
        <v>78</v>
      </c>
      <c r="H6" s="31">
        <f t="shared" ref="H6:H26" si="4">+G6/C6</f>
        <v>0.58208955223880599</v>
      </c>
      <c r="I6" s="16">
        <v>4</v>
      </c>
      <c r="J6" s="31">
        <f t="shared" ref="J6:J25" si="5">+I6/C6</f>
        <v>2.9850746268656716E-2</v>
      </c>
      <c r="K6" s="17">
        <v>29</v>
      </c>
      <c r="L6" s="31">
        <f t="shared" ref="L6:L26" si="6">+K6/C6</f>
        <v>0.21641791044776118</v>
      </c>
      <c r="M6" s="20">
        <v>1</v>
      </c>
      <c r="N6" s="34">
        <f t="shared" ref="N6:N25" si="7">+M6/C6</f>
        <v>7.462686567164179E-3</v>
      </c>
      <c r="O6" s="19">
        <v>16</v>
      </c>
      <c r="P6" s="31">
        <f t="shared" ref="P6:P26" si="8">+O6/C6</f>
        <v>0.11940298507462686</v>
      </c>
      <c r="Q6" s="19">
        <v>6</v>
      </c>
      <c r="R6" s="34">
        <f t="shared" ref="R6:R25" si="9">+Q6/C6</f>
        <v>4.4776119402985072E-2</v>
      </c>
      <c r="S6" s="96"/>
      <c r="T6" s="96"/>
      <c r="U6" s="96"/>
      <c r="V6" s="96"/>
      <c r="W6" s="96"/>
      <c r="X6" s="1">
        <v>718</v>
      </c>
    </row>
    <row r="7" spans="1:25" s="14" customFormat="1" ht="21" customHeight="1" x14ac:dyDescent="0.2">
      <c r="A7" s="30">
        <f t="shared" ref="A7:A26" si="10">+A6+1</f>
        <v>2</v>
      </c>
      <c r="B7" s="17" t="s">
        <v>79</v>
      </c>
      <c r="C7" s="19">
        <f t="shared" si="0"/>
        <v>104</v>
      </c>
      <c r="D7" s="33">
        <f t="shared" si="1"/>
        <v>0.14484679665738162</v>
      </c>
      <c r="E7" s="19">
        <f t="shared" si="2"/>
        <v>95</v>
      </c>
      <c r="F7" s="33">
        <f t="shared" si="3"/>
        <v>0.91346153846153844</v>
      </c>
      <c r="G7" s="19">
        <v>81</v>
      </c>
      <c r="H7" s="31">
        <f t="shared" si="4"/>
        <v>0.77884615384615385</v>
      </c>
      <c r="I7" s="16">
        <v>5</v>
      </c>
      <c r="J7" s="31">
        <f t="shared" si="5"/>
        <v>4.807692307692308E-2</v>
      </c>
      <c r="K7" s="17">
        <v>6</v>
      </c>
      <c r="L7" s="31">
        <f t="shared" si="6"/>
        <v>5.7692307692307696E-2</v>
      </c>
      <c r="M7" s="20">
        <v>3</v>
      </c>
      <c r="N7" s="34">
        <f t="shared" si="7"/>
        <v>2.8846153846153848E-2</v>
      </c>
      <c r="O7" s="19">
        <v>7</v>
      </c>
      <c r="P7" s="31">
        <f t="shared" si="8"/>
        <v>6.7307692307692304E-2</v>
      </c>
      <c r="Q7" s="17">
        <v>2</v>
      </c>
      <c r="R7" s="34">
        <f t="shared" si="9"/>
        <v>1.9230769230769232E-2</v>
      </c>
      <c r="S7" s="96"/>
      <c r="T7" s="96"/>
      <c r="U7" s="96"/>
      <c r="V7" s="96"/>
      <c r="W7" s="96"/>
      <c r="X7" s="14">
        <f t="shared" ref="X7:X27" si="11">+X6</f>
        <v>718</v>
      </c>
    </row>
    <row r="8" spans="1:25" ht="18" customHeight="1" x14ac:dyDescent="0.2">
      <c r="A8" s="30">
        <f t="shared" si="10"/>
        <v>3</v>
      </c>
      <c r="B8" s="17" t="s">
        <v>80</v>
      </c>
      <c r="C8" s="17">
        <f t="shared" si="0"/>
        <v>58</v>
      </c>
      <c r="D8" s="23">
        <f t="shared" si="1"/>
        <v>8.0779944289693595E-2</v>
      </c>
      <c r="E8" s="19">
        <f t="shared" si="2"/>
        <v>54</v>
      </c>
      <c r="F8" s="23">
        <f t="shared" si="3"/>
        <v>0.93103448275862066</v>
      </c>
      <c r="G8" s="19">
        <v>43</v>
      </c>
      <c r="H8" s="24">
        <f t="shared" si="4"/>
        <v>0.74137931034482762</v>
      </c>
      <c r="I8" s="16">
        <v>5</v>
      </c>
      <c r="J8" s="24">
        <f t="shared" si="5"/>
        <v>8.6206896551724144E-2</v>
      </c>
      <c r="K8" s="17">
        <v>5</v>
      </c>
      <c r="L8" s="24">
        <f t="shared" si="6"/>
        <v>8.6206896551724144E-2</v>
      </c>
      <c r="M8" s="20">
        <v>1</v>
      </c>
      <c r="N8" s="25">
        <f t="shared" si="7"/>
        <v>1.7241379310344827E-2</v>
      </c>
      <c r="O8" s="19">
        <v>3</v>
      </c>
      <c r="P8" s="24">
        <f t="shared" si="8"/>
        <v>5.1724137931034482E-2</v>
      </c>
      <c r="Q8" s="19">
        <v>1</v>
      </c>
      <c r="R8" s="25">
        <f t="shared" si="9"/>
        <v>1.7241379310344827E-2</v>
      </c>
      <c r="S8" s="96"/>
      <c r="T8" s="96"/>
      <c r="U8" s="96"/>
      <c r="V8" s="96"/>
      <c r="W8" s="96"/>
      <c r="X8" s="14">
        <f t="shared" si="11"/>
        <v>718</v>
      </c>
      <c r="Y8" s="14"/>
    </row>
    <row r="9" spans="1:25" ht="21" customHeight="1" x14ac:dyDescent="0.2">
      <c r="A9" s="30">
        <f t="shared" si="10"/>
        <v>4</v>
      </c>
      <c r="B9" s="17" t="s">
        <v>81</v>
      </c>
      <c r="C9" s="17">
        <f t="shared" si="0"/>
        <v>50</v>
      </c>
      <c r="D9" s="23">
        <f t="shared" si="1"/>
        <v>6.9637883008356549E-2</v>
      </c>
      <c r="E9" s="19">
        <f t="shared" si="2"/>
        <v>42</v>
      </c>
      <c r="F9" s="23">
        <f t="shared" si="3"/>
        <v>0.84</v>
      </c>
      <c r="G9" s="19">
        <v>26</v>
      </c>
      <c r="H9" s="24">
        <f t="shared" si="4"/>
        <v>0.52</v>
      </c>
      <c r="I9" s="16">
        <v>3</v>
      </c>
      <c r="J9" s="24">
        <f t="shared" si="5"/>
        <v>0.06</v>
      </c>
      <c r="K9" s="17">
        <v>13</v>
      </c>
      <c r="L9" s="24">
        <f t="shared" si="6"/>
        <v>0.26</v>
      </c>
      <c r="M9" s="88">
        <v>0</v>
      </c>
      <c r="N9" s="25">
        <f t="shared" si="7"/>
        <v>0</v>
      </c>
      <c r="O9" s="19">
        <v>6</v>
      </c>
      <c r="P9" s="24">
        <f t="shared" si="8"/>
        <v>0.12</v>
      </c>
      <c r="Q9" s="17">
        <v>2</v>
      </c>
      <c r="R9" s="25">
        <f t="shared" si="9"/>
        <v>0.04</v>
      </c>
      <c r="S9" s="96"/>
      <c r="T9" s="96"/>
      <c r="U9" s="96"/>
      <c r="V9" s="96"/>
      <c r="W9" s="96"/>
      <c r="X9" s="14">
        <f t="shared" si="11"/>
        <v>718</v>
      </c>
      <c r="Y9" s="14"/>
    </row>
    <row r="10" spans="1:25" ht="21" customHeight="1" x14ac:dyDescent="0.2">
      <c r="A10" s="30">
        <f t="shared" si="10"/>
        <v>5</v>
      </c>
      <c r="B10" s="17" t="s">
        <v>82</v>
      </c>
      <c r="C10" s="17">
        <f t="shared" si="0"/>
        <v>44</v>
      </c>
      <c r="D10" s="23">
        <f t="shared" si="1"/>
        <v>6.1281337047353758E-2</v>
      </c>
      <c r="E10" s="19">
        <f t="shared" si="2"/>
        <v>33</v>
      </c>
      <c r="F10" s="23">
        <f t="shared" si="3"/>
        <v>0.75</v>
      </c>
      <c r="G10" s="19">
        <v>22</v>
      </c>
      <c r="H10" s="24">
        <f t="shared" si="4"/>
        <v>0.5</v>
      </c>
      <c r="I10" s="16">
        <v>1</v>
      </c>
      <c r="J10" s="24">
        <f t="shared" si="5"/>
        <v>2.2727272727272728E-2</v>
      </c>
      <c r="K10" s="17">
        <v>9</v>
      </c>
      <c r="L10" s="24">
        <f t="shared" si="6"/>
        <v>0.20454545454545456</v>
      </c>
      <c r="M10" s="20">
        <v>1</v>
      </c>
      <c r="N10" s="25">
        <f t="shared" si="7"/>
        <v>2.2727272727272728E-2</v>
      </c>
      <c r="O10" s="19">
        <v>8</v>
      </c>
      <c r="P10" s="24">
        <f t="shared" si="8"/>
        <v>0.18181818181818182</v>
      </c>
      <c r="Q10" s="17">
        <v>3</v>
      </c>
      <c r="R10" s="25">
        <f t="shared" si="9"/>
        <v>6.8181818181818177E-2</v>
      </c>
      <c r="S10" s="96"/>
      <c r="T10" s="96"/>
      <c r="U10" s="96"/>
      <c r="V10" s="96"/>
      <c r="W10" s="96"/>
      <c r="X10" s="14">
        <f t="shared" si="11"/>
        <v>718</v>
      </c>
      <c r="Y10" s="14"/>
    </row>
    <row r="11" spans="1:25" ht="21" customHeight="1" x14ac:dyDescent="0.2">
      <c r="A11" s="30">
        <f t="shared" si="10"/>
        <v>6</v>
      </c>
      <c r="B11" s="17" t="s">
        <v>83</v>
      </c>
      <c r="C11" s="17">
        <f t="shared" si="0"/>
        <v>41</v>
      </c>
      <c r="D11" s="23">
        <f t="shared" si="1"/>
        <v>5.7103064066852366E-2</v>
      </c>
      <c r="E11" s="19">
        <f t="shared" si="2"/>
        <v>30</v>
      </c>
      <c r="F11" s="23">
        <f t="shared" si="3"/>
        <v>0.73170731707317072</v>
      </c>
      <c r="G11" s="19">
        <v>28</v>
      </c>
      <c r="H11" s="24">
        <f t="shared" si="4"/>
        <v>0.68292682926829273</v>
      </c>
      <c r="I11" s="16">
        <v>1</v>
      </c>
      <c r="J11" s="24">
        <f t="shared" si="5"/>
        <v>2.4390243902439025E-2</v>
      </c>
      <c r="K11" s="17">
        <v>1</v>
      </c>
      <c r="L11" s="24">
        <f t="shared" si="6"/>
        <v>2.4390243902439025E-2</v>
      </c>
      <c r="M11" s="88">
        <v>0</v>
      </c>
      <c r="N11" s="25">
        <f t="shared" si="7"/>
        <v>0</v>
      </c>
      <c r="O11" s="19">
        <v>9</v>
      </c>
      <c r="P11" s="24">
        <f t="shared" si="8"/>
        <v>0.21951219512195122</v>
      </c>
      <c r="Q11" s="17">
        <v>2</v>
      </c>
      <c r="R11" s="25">
        <f t="shared" si="9"/>
        <v>4.878048780487805E-2</v>
      </c>
      <c r="S11" s="96"/>
      <c r="T11" s="96"/>
      <c r="U11" s="96"/>
      <c r="V11" s="96"/>
      <c r="W11" s="96"/>
      <c r="X11" s="14">
        <f t="shared" si="11"/>
        <v>718</v>
      </c>
      <c r="Y11" s="14"/>
    </row>
    <row r="12" spans="1:25" ht="21" customHeight="1" x14ac:dyDescent="0.2">
      <c r="A12" s="30">
        <f t="shared" si="10"/>
        <v>7</v>
      </c>
      <c r="B12" s="17" t="s">
        <v>29</v>
      </c>
      <c r="C12" s="17">
        <f t="shared" si="0"/>
        <v>41</v>
      </c>
      <c r="D12" s="23">
        <f t="shared" si="1"/>
        <v>5.7103064066852366E-2</v>
      </c>
      <c r="E12" s="19">
        <f t="shared" si="2"/>
        <v>36</v>
      </c>
      <c r="F12" s="23">
        <f t="shared" si="3"/>
        <v>0.87804878048780488</v>
      </c>
      <c r="G12" s="19">
        <v>18</v>
      </c>
      <c r="H12" s="24">
        <f t="shared" si="4"/>
        <v>0.43902439024390244</v>
      </c>
      <c r="I12" s="88">
        <v>0</v>
      </c>
      <c r="J12" s="24">
        <f t="shared" si="5"/>
        <v>0</v>
      </c>
      <c r="K12" s="17">
        <v>18</v>
      </c>
      <c r="L12" s="24">
        <f t="shared" si="6"/>
        <v>0.43902439024390244</v>
      </c>
      <c r="M12" s="88">
        <v>0</v>
      </c>
      <c r="N12" s="25">
        <f t="shared" si="7"/>
        <v>0</v>
      </c>
      <c r="O12" s="19">
        <v>4</v>
      </c>
      <c r="P12" s="24">
        <f t="shared" si="8"/>
        <v>9.7560975609756101E-2</v>
      </c>
      <c r="Q12" s="17">
        <v>1</v>
      </c>
      <c r="R12" s="25">
        <f t="shared" si="9"/>
        <v>2.4390243902439025E-2</v>
      </c>
      <c r="S12" s="96"/>
      <c r="T12" s="96"/>
      <c r="U12" s="96"/>
      <c r="V12" s="96"/>
      <c r="W12" s="96"/>
      <c r="X12" s="14">
        <f t="shared" si="11"/>
        <v>718</v>
      </c>
      <c r="Y12" s="14"/>
    </row>
    <row r="13" spans="1:25" ht="21" customHeight="1" x14ac:dyDescent="0.2">
      <c r="A13" s="30">
        <f t="shared" si="10"/>
        <v>8</v>
      </c>
      <c r="B13" s="17" t="s">
        <v>7</v>
      </c>
      <c r="C13" s="17">
        <f t="shared" si="0"/>
        <v>32</v>
      </c>
      <c r="D13" s="23">
        <f t="shared" si="1"/>
        <v>4.456824512534819E-2</v>
      </c>
      <c r="E13" s="19">
        <f t="shared" si="2"/>
        <v>29</v>
      </c>
      <c r="F13" s="23">
        <f t="shared" si="3"/>
        <v>0.90625</v>
      </c>
      <c r="G13" s="19">
        <v>18</v>
      </c>
      <c r="H13" s="24">
        <f t="shared" si="4"/>
        <v>0.5625</v>
      </c>
      <c r="I13" s="16">
        <v>1</v>
      </c>
      <c r="J13" s="24">
        <f t="shared" si="5"/>
        <v>3.125E-2</v>
      </c>
      <c r="K13" s="17">
        <v>10</v>
      </c>
      <c r="L13" s="24">
        <f t="shared" si="6"/>
        <v>0.3125</v>
      </c>
      <c r="M13" s="88">
        <v>0</v>
      </c>
      <c r="N13" s="25">
        <f t="shared" si="7"/>
        <v>0</v>
      </c>
      <c r="O13" s="19">
        <v>2</v>
      </c>
      <c r="P13" s="24">
        <f t="shared" si="8"/>
        <v>6.25E-2</v>
      </c>
      <c r="Q13" s="19">
        <v>1</v>
      </c>
      <c r="R13" s="25">
        <f t="shared" si="9"/>
        <v>3.125E-2</v>
      </c>
      <c r="S13" s="96"/>
      <c r="T13" s="96"/>
      <c r="U13" s="96"/>
      <c r="V13" s="96"/>
      <c r="W13" s="96"/>
      <c r="X13" s="14">
        <f t="shared" si="11"/>
        <v>718</v>
      </c>
      <c r="Y13" s="14"/>
    </row>
    <row r="14" spans="1:25" ht="21" customHeight="1" x14ac:dyDescent="0.2">
      <c r="A14" s="30">
        <f t="shared" si="10"/>
        <v>9</v>
      </c>
      <c r="B14" s="17" t="s">
        <v>84</v>
      </c>
      <c r="C14" s="17">
        <f t="shared" si="0"/>
        <v>31</v>
      </c>
      <c r="D14" s="23">
        <f t="shared" si="1"/>
        <v>4.3175487465181059E-2</v>
      </c>
      <c r="E14" s="19">
        <f t="shared" si="2"/>
        <v>28</v>
      </c>
      <c r="F14" s="23">
        <f t="shared" si="3"/>
        <v>0.90322580645161288</v>
      </c>
      <c r="G14" s="19">
        <v>20</v>
      </c>
      <c r="H14" s="24">
        <f t="shared" si="4"/>
        <v>0.64516129032258063</v>
      </c>
      <c r="I14" s="16">
        <v>1</v>
      </c>
      <c r="J14" s="24">
        <f t="shared" si="5"/>
        <v>3.2258064516129031E-2</v>
      </c>
      <c r="K14" s="17">
        <v>7</v>
      </c>
      <c r="L14" s="24">
        <f t="shared" si="6"/>
        <v>0.22580645161290322</v>
      </c>
      <c r="M14" s="88">
        <v>0</v>
      </c>
      <c r="N14" s="25">
        <f t="shared" si="7"/>
        <v>0</v>
      </c>
      <c r="O14" s="19">
        <v>3</v>
      </c>
      <c r="P14" s="24">
        <f t="shared" si="8"/>
        <v>9.6774193548387094E-2</v>
      </c>
      <c r="Q14" s="89">
        <v>0</v>
      </c>
      <c r="R14" s="25">
        <f t="shared" si="9"/>
        <v>0</v>
      </c>
      <c r="S14" s="96"/>
      <c r="T14" s="96"/>
      <c r="U14" s="96"/>
      <c r="V14" s="96"/>
      <c r="W14" s="96"/>
      <c r="X14" s="14">
        <f t="shared" si="11"/>
        <v>718</v>
      </c>
      <c r="Y14" s="14"/>
    </row>
    <row r="15" spans="1:25" ht="21" customHeight="1" x14ac:dyDescent="0.2">
      <c r="A15" s="30">
        <f t="shared" si="10"/>
        <v>10</v>
      </c>
      <c r="B15" s="17" t="s">
        <v>86</v>
      </c>
      <c r="C15" s="17">
        <f t="shared" si="0"/>
        <v>25</v>
      </c>
      <c r="D15" s="23">
        <f t="shared" si="1"/>
        <v>3.4818941504178275E-2</v>
      </c>
      <c r="E15" s="19">
        <f t="shared" si="2"/>
        <v>23</v>
      </c>
      <c r="F15" s="23">
        <f t="shared" si="3"/>
        <v>0.92</v>
      </c>
      <c r="G15" s="19">
        <v>19</v>
      </c>
      <c r="H15" s="24">
        <f t="shared" si="4"/>
        <v>0.76</v>
      </c>
      <c r="I15" s="16">
        <v>2</v>
      </c>
      <c r="J15" s="24">
        <f t="shared" si="5"/>
        <v>0.08</v>
      </c>
      <c r="K15" s="17">
        <v>2</v>
      </c>
      <c r="L15" s="24">
        <f t="shared" si="6"/>
        <v>0.08</v>
      </c>
      <c r="M15" s="88">
        <v>0</v>
      </c>
      <c r="N15" s="25">
        <f t="shared" si="7"/>
        <v>0</v>
      </c>
      <c r="O15" s="89">
        <v>0</v>
      </c>
      <c r="P15" s="24">
        <f t="shared" si="8"/>
        <v>0</v>
      </c>
      <c r="Q15" s="17">
        <v>2</v>
      </c>
      <c r="R15" s="25">
        <f t="shared" si="9"/>
        <v>0.08</v>
      </c>
      <c r="S15" s="96"/>
      <c r="T15" s="96"/>
      <c r="U15" s="96"/>
      <c r="V15" s="96"/>
      <c r="W15" s="96"/>
      <c r="X15" s="14">
        <f t="shared" si="11"/>
        <v>718</v>
      </c>
      <c r="Y15" s="14"/>
    </row>
    <row r="16" spans="1:25" ht="21" customHeight="1" x14ac:dyDescent="0.2">
      <c r="A16" s="30">
        <f t="shared" si="10"/>
        <v>11</v>
      </c>
      <c r="B16" s="17" t="s">
        <v>85</v>
      </c>
      <c r="C16" s="17">
        <f t="shared" si="0"/>
        <v>22</v>
      </c>
      <c r="D16" s="23">
        <f t="shared" si="1"/>
        <v>3.0640668523676879E-2</v>
      </c>
      <c r="E16" s="19">
        <f t="shared" si="2"/>
        <v>20</v>
      </c>
      <c r="F16" s="23">
        <f t="shared" si="3"/>
        <v>0.90909090909090906</v>
      </c>
      <c r="G16" s="19">
        <v>18</v>
      </c>
      <c r="H16" s="24">
        <f t="shared" si="4"/>
        <v>0.81818181818181823</v>
      </c>
      <c r="I16" s="16">
        <v>1</v>
      </c>
      <c r="J16" s="24">
        <f t="shared" si="5"/>
        <v>4.5454545454545456E-2</v>
      </c>
      <c r="K16" s="17">
        <v>1</v>
      </c>
      <c r="L16" s="24">
        <f t="shared" si="6"/>
        <v>4.5454545454545456E-2</v>
      </c>
      <c r="M16" s="88">
        <v>0</v>
      </c>
      <c r="N16" s="25">
        <f t="shared" si="7"/>
        <v>0</v>
      </c>
      <c r="O16" s="19">
        <v>2</v>
      </c>
      <c r="P16" s="24">
        <f t="shared" si="8"/>
        <v>9.0909090909090912E-2</v>
      </c>
      <c r="Q16" s="89">
        <v>0</v>
      </c>
      <c r="R16" s="25">
        <f t="shared" si="9"/>
        <v>0</v>
      </c>
      <c r="S16" s="96"/>
      <c r="T16" s="96"/>
      <c r="U16" s="96"/>
      <c r="V16" s="96"/>
      <c r="W16" s="96"/>
      <c r="X16" s="14">
        <f t="shared" si="11"/>
        <v>718</v>
      </c>
      <c r="Y16" s="14"/>
    </row>
    <row r="17" spans="1:25" ht="21" customHeight="1" x14ac:dyDescent="0.2">
      <c r="A17" s="30">
        <f t="shared" si="10"/>
        <v>12</v>
      </c>
      <c r="B17" s="17" t="s">
        <v>92</v>
      </c>
      <c r="C17" s="17">
        <f t="shared" si="0"/>
        <v>21</v>
      </c>
      <c r="D17" s="23">
        <f t="shared" si="1"/>
        <v>2.9247910863509748E-2</v>
      </c>
      <c r="E17" s="19">
        <f t="shared" si="2"/>
        <v>19</v>
      </c>
      <c r="F17" s="23">
        <f t="shared" si="3"/>
        <v>0.90476190476190477</v>
      </c>
      <c r="G17" s="19">
        <v>17</v>
      </c>
      <c r="H17" s="24">
        <f t="shared" si="4"/>
        <v>0.80952380952380953</v>
      </c>
      <c r="I17" s="88">
        <v>0</v>
      </c>
      <c r="J17" s="24">
        <f t="shared" si="5"/>
        <v>0</v>
      </c>
      <c r="K17" s="17">
        <v>2</v>
      </c>
      <c r="L17" s="24">
        <f t="shared" si="6"/>
        <v>9.5238095238095233E-2</v>
      </c>
      <c r="M17" s="88">
        <v>0</v>
      </c>
      <c r="N17" s="25">
        <f t="shared" si="7"/>
        <v>0</v>
      </c>
      <c r="O17" s="19">
        <v>2</v>
      </c>
      <c r="P17" s="24">
        <f t="shared" si="8"/>
        <v>9.5238095238095233E-2</v>
      </c>
      <c r="Q17" s="97">
        <v>0</v>
      </c>
      <c r="R17" s="25">
        <f t="shared" si="9"/>
        <v>0</v>
      </c>
      <c r="S17" s="96"/>
      <c r="T17" s="96"/>
      <c r="U17" s="96"/>
      <c r="V17" s="96"/>
      <c r="W17" s="96"/>
      <c r="X17" s="14">
        <f t="shared" si="11"/>
        <v>718</v>
      </c>
      <c r="Y17" s="14"/>
    </row>
    <row r="18" spans="1:25" ht="21" customHeight="1" x14ac:dyDescent="0.2">
      <c r="A18" s="30">
        <f t="shared" si="10"/>
        <v>13</v>
      </c>
      <c r="B18" s="17" t="s">
        <v>89</v>
      </c>
      <c r="C18" s="17">
        <f t="shared" si="0"/>
        <v>21</v>
      </c>
      <c r="D18" s="23">
        <f t="shared" si="1"/>
        <v>2.9247910863509748E-2</v>
      </c>
      <c r="E18" s="19">
        <f t="shared" si="2"/>
        <v>20</v>
      </c>
      <c r="F18" s="23">
        <f t="shared" si="3"/>
        <v>0.95238095238095233</v>
      </c>
      <c r="G18" s="19">
        <v>16</v>
      </c>
      <c r="H18" s="24">
        <f t="shared" si="4"/>
        <v>0.76190476190476186</v>
      </c>
      <c r="I18" s="16">
        <v>1</v>
      </c>
      <c r="J18" s="24">
        <f t="shared" si="5"/>
        <v>4.7619047619047616E-2</v>
      </c>
      <c r="K18" s="17">
        <v>3</v>
      </c>
      <c r="L18" s="24">
        <f t="shared" si="6"/>
        <v>0.14285714285714285</v>
      </c>
      <c r="M18" s="88">
        <v>0</v>
      </c>
      <c r="N18" s="25">
        <f t="shared" si="7"/>
        <v>0</v>
      </c>
      <c r="O18" s="89">
        <v>0</v>
      </c>
      <c r="P18" s="24">
        <f t="shared" si="8"/>
        <v>0</v>
      </c>
      <c r="Q18" s="17">
        <v>1</v>
      </c>
      <c r="R18" s="25">
        <f t="shared" si="9"/>
        <v>4.7619047619047616E-2</v>
      </c>
      <c r="S18" s="96"/>
      <c r="T18" s="96"/>
      <c r="U18" s="96"/>
      <c r="V18" s="96"/>
      <c r="W18" s="96"/>
      <c r="X18" s="14">
        <f t="shared" si="11"/>
        <v>718</v>
      </c>
      <c r="Y18" s="14"/>
    </row>
    <row r="19" spans="1:25" ht="21" customHeight="1" x14ac:dyDescent="0.2">
      <c r="A19" s="30">
        <f t="shared" si="10"/>
        <v>14</v>
      </c>
      <c r="B19" s="17" t="s">
        <v>88</v>
      </c>
      <c r="C19" s="17">
        <f t="shared" si="0"/>
        <v>18</v>
      </c>
      <c r="D19" s="23">
        <f t="shared" si="1"/>
        <v>2.5069637883008356E-2</v>
      </c>
      <c r="E19" s="19">
        <f t="shared" si="2"/>
        <v>13</v>
      </c>
      <c r="F19" s="23">
        <f t="shared" si="3"/>
        <v>0.72222222222222221</v>
      </c>
      <c r="G19" s="19">
        <v>12</v>
      </c>
      <c r="H19" s="24">
        <f t="shared" si="4"/>
        <v>0.66666666666666663</v>
      </c>
      <c r="I19" s="88">
        <v>0</v>
      </c>
      <c r="J19" s="24">
        <f t="shared" si="5"/>
        <v>0</v>
      </c>
      <c r="K19" s="88">
        <v>0</v>
      </c>
      <c r="L19" s="24">
        <f t="shared" si="6"/>
        <v>0</v>
      </c>
      <c r="M19" s="20">
        <v>1</v>
      </c>
      <c r="N19" s="25">
        <f t="shared" si="7"/>
        <v>5.5555555555555552E-2</v>
      </c>
      <c r="O19" s="19">
        <v>3</v>
      </c>
      <c r="P19" s="24">
        <f t="shared" si="8"/>
        <v>0.16666666666666666</v>
      </c>
      <c r="Q19" s="19">
        <v>2</v>
      </c>
      <c r="R19" s="25">
        <f t="shared" si="9"/>
        <v>0.1111111111111111</v>
      </c>
      <c r="S19" s="96"/>
      <c r="T19" s="96"/>
      <c r="U19" s="96"/>
      <c r="V19" s="96"/>
      <c r="W19" s="96"/>
      <c r="X19" s="14">
        <f t="shared" si="11"/>
        <v>718</v>
      </c>
      <c r="Y19" s="14"/>
    </row>
    <row r="20" spans="1:25" ht="21" customHeight="1" x14ac:dyDescent="0.2">
      <c r="A20" s="30">
        <f t="shared" si="10"/>
        <v>15</v>
      </c>
      <c r="B20" s="17" t="s">
        <v>87</v>
      </c>
      <c r="C20" s="17">
        <f t="shared" si="0"/>
        <v>16</v>
      </c>
      <c r="D20" s="23">
        <f t="shared" si="1"/>
        <v>2.2284122562674095E-2</v>
      </c>
      <c r="E20" s="19">
        <f t="shared" si="2"/>
        <v>13</v>
      </c>
      <c r="F20" s="23">
        <f t="shared" si="3"/>
        <v>0.8125</v>
      </c>
      <c r="G20" s="19">
        <v>7</v>
      </c>
      <c r="H20" s="24">
        <f t="shared" si="4"/>
        <v>0.4375</v>
      </c>
      <c r="I20" s="16">
        <v>1</v>
      </c>
      <c r="J20" s="24">
        <f t="shared" si="5"/>
        <v>6.25E-2</v>
      </c>
      <c r="K20" s="17">
        <v>5</v>
      </c>
      <c r="L20" s="24">
        <f t="shared" si="6"/>
        <v>0.3125</v>
      </c>
      <c r="M20" s="88">
        <v>0</v>
      </c>
      <c r="N20" s="25">
        <f t="shared" si="7"/>
        <v>0</v>
      </c>
      <c r="O20" s="19">
        <v>2</v>
      </c>
      <c r="P20" s="24">
        <f t="shared" si="8"/>
        <v>0.125</v>
      </c>
      <c r="Q20" s="19">
        <v>1</v>
      </c>
      <c r="R20" s="25">
        <f t="shared" si="9"/>
        <v>6.25E-2</v>
      </c>
      <c r="S20" s="96"/>
      <c r="T20" s="96"/>
      <c r="U20" s="96"/>
      <c r="V20" s="96"/>
      <c r="W20" s="96"/>
      <c r="X20" s="14">
        <f t="shared" si="11"/>
        <v>718</v>
      </c>
      <c r="Y20" s="14"/>
    </row>
    <row r="21" spans="1:25" ht="21" customHeight="1" x14ac:dyDescent="0.2">
      <c r="A21" s="30">
        <f t="shared" si="10"/>
        <v>16</v>
      </c>
      <c r="B21" s="17" t="s">
        <v>90</v>
      </c>
      <c r="C21" s="17">
        <f t="shared" si="0"/>
        <v>13</v>
      </c>
      <c r="D21" s="23">
        <f t="shared" si="1"/>
        <v>1.8105849582172703E-2</v>
      </c>
      <c r="E21" s="19">
        <f t="shared" si="2"/>
        <v>10</v>
      </c>
      <c r="F21" s="23">
        <f t="shared" si="3"/>
        <v>0.76923076923076927</v>
      </c>
      <c r="G21" s="19">
        <v>10</v>
      </c>
      <c r="H21" s="24">
        <f t="shared" si="4"/>
        <v>0.76923076923076927</v>
      </c>
      <c r="I21" s="88">
        <v>0</v>
      </c>
      <c r="J21" s="24">
        <f t="shared" si="5"/>
        <v>0</v>
      </c>
      <c r="K21" s="88">
        <v>0</v>
      </c>
      <c r="L21" s="24">
        <f t="shared" si="6"/>
        <v>0</v>
      </c>
      <c r="M21" s="88">
        <v>0</v>
      </c>
      <c r="N21" s="25">
        <f t="shared" si="7"/>
        <v>0</v>
      </c>
      <c r="O21" s="19">
        <v>2</v>
      </c>
      <c r="P21" s="24">
        <f t="shared" si="8"/>
        <v>0.15384615384615385</v>
      </c>
      <c r="Q21" s="17">
        <v>1</v>
      </c>
      <c r="R21" s="25">
        <f t="shared" si="9"/>
        <v>7.6923076923076927E-2</v>
      </c>
      <c r="S21" s="96"/>
      <c r="T21" s="96"/>
      <c r="U21" s="96"/>
      <c r="V21" s="96"/>
      <c r="W21" s="96"/>
      <c r="X21" s="14">
        <f t="shared" si="11"/>
        <v>718</v>
      </c>
      <c r="Y21" s="14"/>
    </row>
    <row r="22" spans="1:25" ht="21" customHeight="1" x14ac:dyDescent="0.2">
      <c r="A22" s="30">
        <f t="shared" si="10"/>
        <v>17</v>
      </c>
      <c r="B22" s="17" t="s">
        <v>74</v>
      </c>
      <c r="C22" s="17">
        <f t="shared" si="0"/>
        <v>13</v>
      </c>
      <c r="D22" s="23">
        <f t="shared" si="1"/>
        <v>1.8105849582172703E-2</v>
      </c>
      <c r="E22" s="19">
        <f t="shared" si="2"/>
        <v>3</v>
      </c>
      <c r="F22" s="23">
        <f t="shared" si="3"/>
        <v>0.23076923076923078</v>
      </c>
      <c r="G22" s="19">
        <v>2</v>
      </c>
      <c r="H22" s="24">
        <f t="shared" si="4"/>
        <v>0.15384615384615385</v>
      </c>
      <c r="I22" s="88">
        <v>0</v>
      </c>
      <c r="J22" s="24">
        <f t="shared" si="5"/>
        <v>0</v>
      </c>
      <c r="K22" s="88">
        <v>0</v>
      </c>
      <c r="L22" s="24">
        <f t="shared" si="6"/>
        <v>0</v>
      </c>
      <c r="M22" s="20">
        <v>1</v>
      </c>
      <c r="N22" s="25">
        <f t="shared" si="7"/>
        <v>7.6923076923076927E-2</v>
      </c>
      <c r="O22" s="19">
        <v>10</v>
      </c>
      <c r="P22" s="24">
        <f t="shared" si="8"/>
        <v>0.76923076923076927</v>
      </c>
      <c r="Q22" s="89">
        <v>0</v>
      </c>
      <c r="R22" s="25">
        <f t="shared" si="9"/>
        <v>0</v>
      </c>
      <c r="S22" s="96"/>
      <c r="T22" s="96"/>
      <c r="U22" s="96"/>
      <c r="V22" s="96"/>
      <c r="W22" s="96"/>
      <c r="X22" s="14">
        <f t="shared" si="11"/>
        <v>718</v>
      </c>
      <c r="Y22" s="14"/>
    </row>
    <row r="23" spans="1:25" ht="21" customHeight="1" x14ac:dyDescent="0.2">
      <c r="A23" s="30">
        <f t="shared" si="10"/>
        <v>18</v>
      </c>
      <c r="B23" s="29" t="s">
        <v>91</v>
      </c>
      <c r="C23" s="17">
        <f t="shared" si="0"/>
        <v>11</v>
      </c>
      <c r="D23" s="23">
        <f t="shared" si="1"/>
        <v>1.532033426183844E-2</v>
      </c>
      <c r="E23" s="19">
        <f t="shared" si="2"/>
        <v>5</v>
      </c>
      <c r="F23" s="23">
        <f t="shared" si="3"/>
        <v>0.45454545454545453</v>
      </c>
      <c r="G23" s="19">
        <v>4</v>
      </c>
      <c r="H23" s="24">
        <f t="shared" si="4"/>
        <v>0.36363636363636365</v>
      </c>
      <c r="I23" s="88">
        <v>0</v>
      </c>
      <c r="J23" s="24">
        <f t="shared" si="5"/>
        <v>0</v>
      </c>
      <c r="K23" s="17">
        <v>1</v>
      </c>
      <c r="L23" s="24">
        <f t="shared" si="6"/>
        <v>9.0909090909090912E-2</v>
      </c>
      <c r="M23" s="88">
        <v>0</v>
      </c>
      <c r="N23" s="25">
        <f t="shared" si="7"/>
        <v>0</v>
      </c>
      <c r="O23" s="19">
        <v>4</v>
      </c>
      <c r="P23" s="24">
        <f t="shared" si="8"/>
        <v>0.36363636363636365</v>
      </c>
      <c r="Q23" s="19">
        <v>2</v>
      </c>
      <c r="R23" s="25">
        <f t="shared" si="9"/>
        <v>0.18181818181818182</v>
      </c>
      <c r="S23" s="96"/>
      <c r="T23" s="96"/>
      <c r="U23" s="96"/>
      <c r="V23" s="96"/>
      <c r="W23" s="96"/>
      <c r="X23" s="14">
        <f t="shared" si="11"/>
        <v>718</v>
      </c>
      <c r="Y23" s="14"/>
    </row>
    <row r="24" spans="1:25" ht="21" customHeight="1" x14ac:dyDescent="0.2">
      <c r="A24" s="30">
        <f t="shared" si="10"/>
        <v>19</v>
      </c>
      <c r="B24" s="17" t="s">
        <v>28</v>
      </c>
      <c r="C24" s="17">
        <f t="shared" si="0"/>
        <v>11</v>
      </c>
      <c r="D24" s="23">
        <f t="shared" si="1"/>
        <v>1.532033426183844E-2</v>
      </c>
      <c r="E24" s="19">
        <f t="shared" si="2"/>
        <v>9</v>
      </c>
      <c r="F24" s="23">
        <f t="shared" si="3"/>
        <v>0.81818181818181823</v>
      </c>
      <c r="G24" s="19">
        <v>8</v>
      </c>
      <c r="H24" s="24">
        <f t="shared" si="4"/>
        <v>0.72727272727272729</v>
      </c>
      <c r="I24" s="88">
        <v>0</v>
      </c>
      <c r="J24" s="24">
        <f t="shared" si="5"/>
        <v>0</v>
      </c>
      <c r="K24" s="17">
        <v>1</v>
      </c>
      <c r="L24" s="24">
        <f t="shared" si="6"/>
        <v>9.0909090909090912E-2</v>
      </c>
      <c r="M24" s="88">
        <v>0</v>
      </c>
      <c r="N24" s="25">
        <f t="shared" si="7"/>
        <v>0</v>
      </c>
      <c r="O24" s="89">
        <v>0</v>
      </c>
      <c r="P24" s="24">
        <f t="shared" si="8"/>
        <v>0</v>
      </c>
      <c r="Q24" s="19">
        <v>2</v>
      </c>
      <c r="R24" s="25">
        <f t="shared" si="9"/>
        <v>0.18181818181818182</v>
      </c>
      <c r="S24" s="96"/>
      <c r="T24" s="96"/>
      <c r="U24" s="96"/>
      <c r="V24" s="96"/>
      <c r="W24" s="96"/>
      <c r="X24" s="14">
        <f t="shared" si="11"/>
        <v>718</v>
      </c>
      <c r="Y24" s="14"/>
    </row>
    <row r="25" spans="1:25" ht="18" customHeight="1" x14ac:dyDescent="0.2">
      <c r="A25" s="30">
        <f t="shared" si="10"/>
        <v>20</v>
      </c>
      <c r="B25" s="17" t="s">
        <v>93</v>
      </c>
      <c r="C25" s="17">
        <f t="shared" si="0"/>
        <v>9</v>
      </c>
      <c r="D25" s="23">
        <f t="shared" si="1"/>
        <v>1.2534818941504178E-2</v>
      </c>
      <c r="E25" s="19">
        <f t="shared" si="2"/>
        <v>6</v>
      </c>
      <c r="F25" s="23">
        <f>+E25/C25</f>
        <v>0.66666666666666663</v>
      </c>
      <c r="G25" s="19">
        <v>6</v>
      </c>
      <c r="H25" s="24">
        <f t="shared" si="4"/>
        <v>0.66666666666666663</v>
      </c>
      <c r="I25" s="88">
        <v>0</v>
      </c>
      <c r="J25" s="24">
        <f t="shared" si="5"/>
        <v>0</v>
      </c>
      <c r="K25" s="88">
        <v>0</v>
      </c>
      <c r="L25" s="24">
        <f t="shared" si="6"/>
        <v>0</v>
      </c>
      <c r="M25" s="88">
        <v>0</v>
      </c>
      <c r="N25" s="25">
        <f t="shared" si="7"/>
        <v>0</v>
      </c>
      <c r="O25" s="19">
        <v>3</v>
      </c>
      <c r="P25" s="24">
        <f t="shared" si="8"/>
        <v>0.33333333333333331</v>
      </c>
      <c r="Q25" s="89">
        <v>0</v>
      </c>
      <c r="R25" s="25">
        <f t="shared" si="9"/>
        <v>0</v>
      </c>
      <c r="S25" s="96"/>
      <c r="T25" s="96"/>
      <c r="U25" s="96"/>
      <c r="V25" s="96"/>
      <c r="W25" s="96"/>
      <c r="X25" s="14">
        <f t="shared" si="11"/>
        <v>718</v>
      </c>
      <c r="Y25" s="14"/>
    </row>
    <row r="26" spans="1:25" ht="21" customHeight="1" thickBot="1" x14ac:dyDescent="0.25">
      <c r="A26" s="30">
        <f t="shared" si="10"/>
        <v>21</v>
      </c>
      <c r="B26" s="18" t="s">
        <v>94</v>
      </c>
      <c r="C26" s="17">
        <f t="shared" si="0"/>
        <v>3</v>
      </c>
      <c r="D26" s="26">
        <f t="shared" si="1"/>
        <v>4.178272980501393E-3</v>
      </c>
      <c r="E26" s="19">
        <f t="shared" si="2"/>
        <v>2</v>
      </c>
      <c r="F26" s="23">
        <f>+E26/C26</f>
        <v>0.66666666666666663</v>
      </c>
      <c r="G26" s="19">
        <v>1</v>
      </c>
      <c r="H26" s="24">
        <f t="shared" si="4"/>
        <v>0.33333333333333331</v>
      </c>
      <c r="I26" s="88">
        <v>0</v>
      </c>
      <c r="J26" s="27">
        <v>0</v>
      </c>
      <c r="K26" s="17">
        <v>1</v>
      </c>
      <c r="L26" s="24">
        <f t="shared" si="6"/>
        <v>0.33333333333333331</v>
      </c>
      <c r="M26" s="88">
        <v>0</v>
      </c>
      <c r="N26" s="28">
        <v>0</v>
      </c>
      <c r="O26" s="19">
        <v>1</v>
      </c>
      <c r="P26" s="24">
        <f t="shared" si="8"/>
        <v>0.33333333333333331</v>
      </c>
      <c r="Q26" s="90">
        <v>0</v>
      </c>
      <c r="R26" s="28">
        <v>0</v>
      </c>
      <c r="S26" s="96"/>
      <c r="T26" s="96"/>
      <c r="U26" s="96"/>
      <c r="V26" s="96"/>
      <c r="W26" s="96"/>
      <c r="X26" s="14">
        <f t="shared" si="11"/>
        <v>718</v>
      </c>
      <c r="Y26" s="14"/>
    </row>
    <row r="27" spans="1:25" s="4" customFormat="1" ht="17.25" customHeight="1" thickBot="1" x14ac:dyDescent="0.3">
      <c r="A27" s="191" t="s">
        <v>14</v>
      </c>
      <c r="B27" s="192"/>
      <c r="C27" s="41">
        <f>SUM(C6:C26)</f>
        <v>718</v>
      </c>
      <c r="D27" s="42">
        <f t="shared" ref="D27" si="12">+C27/X27</f>
        <v>1</v>
      </c>
      <c r="E27" s="43">
        <f>SUM(E6:E26)</f>
        <v>602</v>
      </c>
      <c r="F27" s="44">
        <f t="shared" ref="F27" si="13">+E27/C27</f>
        <v>0.83844011142061281</v>
      </c>
      <c r="G27" s="45">
        <f>SUM(G6:G26)</f>
        <v>454</v>
      </c>
      <c r="H27" s="46">
        <f t="shared" ref="H27" si="14">+G27/C27</f>
        <v>0.63231197771587744</v>
      </c>
      <c r="I27" s="43">
        <f>SUM(I6:I26)</f>
        <v>26</v>
      </c>
      <c r="J27" s="46">
        <f t="shared" ref="J27" si="15">+I27/C27</f>
        <v>3.6211699164345405E-2</v>
      </c>
      <c r="K27" s="45">
        <f>SUM(K6:K26)</f>
        <v>114</v>
      </c>
      <c r="L27" s="47">
        <f t="shared" ref="L27" si="16">+K27/C27</f>
        <v>0.15877437325905291</v>
      </c>
      <c r="M27" s="45">
        <f>SUM(M6:M26)</f>
        <v>8</v>
      </c>
      <c r="N27" s="48">
        <f t="shared" ref="N27" si="17">+M27/C27</f>
        <v>1.1142061281337047E-2</v>
      </c>
      <c r="O27" s="45">
        <f>SUM(O6:O26)</f>
        <v>87</v>
      </c>
      <c r="P27" s="47">
        <f t="shared" ref="P27" si="18">+O27/C27</f>
        <v>0.12116991643454039</v>
      </c>
      <c r="Q27" s="45">
        <f>SUM(Q6:Q26)</f>
        <v>29</v>
      </c>
      <c r="R27" s="48">
        <f t="shared" ref="R27" si="19">+Q27/C27</f>
        <v>4.0389972144846797E-2</v>
      </c>
      <c r="S27" s="96"/>
      <c r="T27" s="96"/>
      <c r="U27" s="96"/>
      <c r="V27" s="96"/>
      <c r="W27" s="96"/>
      <c r="X27" s="14">
        <f t="shared" si="11"/>
        <v>718</v>
      </c>
    </row>
    <row r="28" spans="1:25" s="5" customFormat="1" ht="18.75" customHeight="1" x14ac:dyDescent="0.2">
      <c r="A28" s="193" t="s">
        <v>21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96"/>
      <c r="T28" s="96"/>
      <c r="U28" s="96"/>
      <c r="V28" s="96"/>
      <c r="W28" s="96"/>
    </row>
    <row r="29" spans="1:25" ht="27.75" customHeight="1" x14ac:dyDescent="0.2">
      <c r="A29" s="21">
        <v>1</v>
      </c>
      <c r="B29" s="22" t="s">
        <v>33</v>
      </c>
      <c r="C29" s="20">
        <f t="shared" ref="C29:C40" si="20">+G29+I29+K29+M29+O29+Q29</f>
        <v>274</v>
      </c>
      <c r="D29" s="23">
        <f t="shared" ref="D29:D39" si="21">+C29/X29</f>
        <v>0.38161559888579388</v>
      </c>
      <c r="E29" s="20">
        <f t="shared" ref="E29:E37" si="22">+G29+I29+K29+M29</f>
        <v>244</v>
      </c>
      <c r="F29" s="23">
        <f t="shared" ref="F29:F40" si="23">+E29/C29</f>
        <v>0.89051094890510951</v>
      </c>
      <c r="G29" s="20">
        <v>220</v>
      </c>
      <c r="H29" s="24">
        <f t="shared" ref="H29:H40" si="24">+G29/C29</f>
        <v>0.8029197080291971</v>
      </c>
      <c r="I29" s="20">
        <v>16</v>
      </c>
      <c r="J29" s="24">
        <f t="shared" ref="J29:J41" si="25">+I29/C29</f>
        <v>5.8394160583941604E-2</v>
      </c>
      <c r="K29" s="20">
        <v>3</v>
      </c>
      <c r="L29" s="24">
        <f t="shared" ref="L29:L41" si="26">+K29/C29</f>
        <v>1.0948905109489052E-2</v>
      </c>
      <c r="M29" s="20">
        <v>5</v>
      </c>
      <c r="N29" s="25">
        <f t="shared" ref="N29:N41" si="27">+M29/C29</f>
        <v>1.824817518248175E-2</v>
      </c>
      <c r="O29" s="20">
        <v>18</v>
      </c>
      <c r="P29" s="24">
        <f t="shared" ref="P29:P39" si="28">+O29/C29</f>
        <v>6.569343065693431E-2</v>
      </c>
      <c r="Q29" s="20">
        <v>12</v>
      </c>
      <c r="R29" s="25">
        <f t="shared" ref="R29:R41" si="29">+Q29/C29</f>
        <v>4.3795620437956206E-2</v>
      </c>
      <c r="X29" s="14">
        <f>+X27</f>
        <v>718</v>
      </c>
    </row>
    <row r="30" spans="1:25" ht="24.75" customHeight="1" x14ac:dyDescent="0.2">
      <c r="A30" s="21">
        <v>2</v>
      </c>
      <c r="B30" s="22" t="s">
        <v>17</v>
      </c>
      <c r="C30" s="20">
        <f t="shared" si="20"/>
        <v>199</v>
      </c>
      <c r="D30" s="23">
        <f t="shared" si="21"/>
        <v>0.27715877437325903</v>
      </c>
      <c r="E30" s="20">
        <f t="shared" si="22"/>
        <v>177</v>
      </c>
      <c r="F30" s="23">
        <f t="shared" si="23"/>
        <v>0.88944723618090449</v>
      </c>
      <c r="G30" s="20">
        <v>129</v>
      </c>
      <c r="H30" s="24">
        <f t="shared" si="24"/>
        <v>0.64824120603015079</v>
      </c>
      <c r="I30" s="20">
        <v>7</v>
      </c>
      <c r="J30" s="24">
        <f t="shared" si="25"/>
        <v>3.5175879396984924E-2</v>
      </c>
      <c r="K30" s="20">
        <v>38</v>
      </c>
      <c r="L30" s="24">
        <f t="shared" si="26"/>
        <v>0.19095477386934673</v>
      </c>
      <c r="M30" s="20">
        <f>1+2</f>
        <v>3</v>
      </c>
      <c r="N30" s="25">
        <f t="shared" si="27"/>
        <v>1.507537688442211E-2</v>
      </c>
      <c r="O30" s="20">
        <v>14</v>
      </c>
      <c r="P30" s="24">
        <f t="shared" si="28"/>
        <v>7.0351758793969849E-2</v>
      </c>
      <c r="Q30" s="20">
        <v>8</v>
      </c>
      <c r="R30" s="25">
        <f t="shared" si="29"/>
        <v>4.0201005025125629E-2</v>
      </c>
      <c r="X30" s="14">
        <f>+X29</f>
        <v>718</v>
      </c>
    </row>
    <row r="31" spans="1:25" ht="24" customHeight="1" x14ac:dyDescent="0.2">
      <c r="A31" s="21">
        <f t="shared" ref="A31:A40" si="30">+A30+1</f>
        <v>3</v>
      </c>
      <c r="B31" s="22" t="s">
        <v>30</v>
      </c>
      <c r="C31" s="20">
        <f t="shared" si="20"/>
        <v>170</v>
      </c>
      <c r="D31" s="23">
        <f t="shared" si="21"/>
        <v>0.23676880222841226</v>
      </c>
      <c r="E31" s="20">
        <f t="shared" si="22"/>
        <v>134</v>
      </c>
      <c r="F31" s="23">
        <f t="shared" si="23"/>
        <v>0.78823529411764703</v>
      </c>
      <c r="G31" s="20">
        <v>62</v>
      </c>
      <c r="H31" s="24">
        <f t="shared" si="24"/>
        <v>0.36470588235294116</v>
      </c>
      <c r="I31" s="20">
        <v>2</v>
      </c>
      <c r="J31" s="24">
        <f t="shared" si="25"/>
        <v>1.1764705882352941E-2</v>
      </c>
      <c r="K31" s="20">
        <v>70</v>
      </c>
      <c r="L31" s="24">
        <f t="shared" si="26"/>
        <v>0.41176470588235292</v>
      </c>
      <c r="M31" s="36">
        <v>0</v>
      </c>
      <c r="N31" s="25">
        <f t="shared" si="27"/>
        <v>0</v>
      </c>
      <c r="O31" s="20">
        <v>34</v>
      </c>
      <c r="P31" s="24">
        <f t="shared" si="28"/>
        <v>0.2</v>
      </c>
      <c r="Q31" s="20">
        <v>2</v>
      </c>
      <c r="R31" s="25">
        <f t="shared" si="29"/>
        <v>1.1764705882352941E-2</v>
      </c>
      <c r="X31" s="14">
        <f>+X30</f>
        <v>718</v>
      </c>
    </row>
    <row r="32" spans="1:25" ht="31.5" customHeight="1" x14ac:dyDescent="0.2">
      <c r="A32" s="21">
        <f t="shared" si="30"/>
        <v>4</v>
      </c>
      <c r="B32" s="22" t="s">
        <v>18</v>
      </c>
      <c r="C32" s="20">
        <f t="shared" si="20"/>
        <v>22</v>
      </c>
      <c r="D32" s="23">
        <f t="shared" si="21"/>
        <v>3.0640668523676879E-2</v>
      </c>
      <c r="E32" s="20">
        <f t="shared" si="22"/>
        <v>15</v>
      </c>
      <c r="F32" s="23">
        <f t="shared" si="23"/>
        <v>0.68181818181818177</v>
      </c>
      <c r="G32" s="20">
        <v>15</v>
      </c>
      <c r="H32" s="24">
        <f t="shared" si="24"/>
        <v>0.68181818181818177</v>
      </c>
      <c r="I32" s="36">
        <v>0</v>
      </c>
      <c r="J32" s="24">
        <f t="shared" si="25"/>
        <v>0</v>
      </c>
      <c r="K32" s="36">
        <v>0</v>
      </c>
      <c r="L32" s="24">
        <f t="shared" si="26"/>
        <v>0</v>
      </c>
      <c r="M32" s="36">
        <v>0</v>
      </c>
      <c r="N32" s="25">
        <f t="shared" si="27"/>
        <v>0</v>
      </c>
      <c r="O32" s="20">
        <v>5</v>
      </c>
      <c r="P32" s="24">
        <f t="shared" si="28"/>
        <v>0.22727272727272727</v>
      </c>
      <c r="Q32" s="20">
        <v>2</v>
      </c>
      <c r="R32" s="25">
        <f t="shared" si="29"/>
        <v>9.0909090909090912E-2</v>
      </c>
      <c r="X32" s="14">
        <f>+X31</f>
        <v>718</v>
      </c>
    </row>
    <row r="33" spans="1:24" ht="15.75" customHeight="1" x14ac:dyDescent="0.2">
      <c r="A33" s="21">
        <f t="shared" si="30"/>
        <v>5</v>
      </c>
      <c r="B33" s="22" t="s">
        <v>96</v>
      </c>
      <c r="C33" s="20">
        <f t="shared" si="20"/>
        <v>20</v>
      </c>
      <c r="D33" s="23">
        <f t="shared" si="21"/>
        <v>2.7855153203342618E-2</v>
      </c>
      <c r="E33" s="20">
        <f t="shared" si="22"/>
        <v>14</v>
      </c>
      <c r="F33" s="23">
        <f t="shared" si="23"/>
        <v>0.7</v>
      </c>
      <c r="G33" s="20">
        <v>14</v>
      </c>
      <c r="H33" s="24">
        <f t="shared" si="24"/>
        <v>0.7</v>
      </c>
      <c r="I33" s="36">
        <v>0</v>
      </c>
      <c r="J33" s="24">
        <f t="shared" si="25"/>
        <v>0</v>
      </c>
      <c r="K33" s="36">
        <v>0</v>
      </c>
      <c r="L33" s="24">
        <f t="shared" si="26"/>
        <v>0</v>
      </c>
      <c r="M33" s="36">
        <v>0</v>
      </c>
      <c r="N33" s="25">
        <f t="shared" si="27"/>
        <v>0</v>
      </c>
      <c r="O33" s="20">
        <v>5</v>
      </c>
      <c r="P33" s="24">
        <f t="shared" si="28"/>
        <v>0.25</v>
      </c>
      <c r="Q33" s="20">
        <v>1</v>
      </c>
      <c r="R33" s="25">
        <f t="shared" si="29"/>
        <v>0.05</v>
      </c>
      <c r="X33" s="14">
        <f>+X32</f>
        <v>718</v>
      </c>
    </row>
    <row r="34" spans="1:24" ht="23.25" customHeight="1" x14ac:dyDescent="0.2">
      <c r="A34" s="21">
        <f t="shared" si="30"/>
        <v>6</v>
      </c>
      <c r="B34" s="22" t="s">
        <v>19</v>
      </c>
      <c r="C34" s="20">
        <f t="shared" si="20"/>
        <v>8</v>
      </c>
      <c r="D34" s="23">
        <f t="shared" si="21"/>
        <v>1.1142061281337047E-2</v>
      </c>
      <c r="E34" s="20">
        <f t="shared" si="22"/>
        <v>5</v>
      </c>
      <c r="F34" s="23">
        <f t="shared" si="23"/>
        <v>0.625</v>
      </c>
      <c r="G34" s="20">
        <v>5</v>
      </c>
      <c r="H34" s="24">
        <f t="shared" si="24"/>
        <v>0.625</v>
      </c>
      <c r="I34" s="36">
        <v>0</v>
      </c>
      <c r="J34" s="24">
        <f t="shared" si="25"/>
        <v>0</v>
      </c>
      <c r="K34" s="36">
        <v>0</v>
      </c>
      <c r="L34" s="24">
        <f t="shared" si="26"/>
        <v>0</v>
      </c>
      <c r="M34" s="36">
        <v>0</v>
      </c>
      <c r="N34" s="25">
        <f t="shared" si="27"/>
        <v>0</v>
      </c>
      <c r="O34" s="20">
        <v>2</v>
      </c>
      <c r="P34" s="24">
        <f t="shared" si="28"/>
        <v>0.25</v>
      </c>
      <c r="Q34" s="20">
        <v>1</v>
      </c>
      <c r="R34" s="25">
        <f t="shared" si="29"/>
        <v>0.125</v>
      </c>
      <c r="X34" s="14">
        <f>+X32</f>
        <v>718</v>
      </c>
    </row>
    <row r="35" spans="1:24" s="14" customFormat="1" ht="30" customHeight="1" x14ac:dyDescent="0.2">
      <c r="A35" s="21">
        <f t="shared" si="30"/>
        <v>7</v>
      </c>
      <c r="B35" s="22" t="s">
        <v>20</v>
      </c>
      <c r="C35" s="20">
        <f t="shared" si="20"/>
        <v>7</v>
      </c>
      <c r="D35" s="23">
        <f t="shared" si="21"/>
        <v>9.7493036211699167E-3</v>
      </c>
      <c r="E35" s="20">
        <f t="shared" si="22"/>
        <v>6</v>
      </c>
      <c r="F35" s="23">
        <f t="shared" si="23"/>
        <v>0.8571428571428571</v>
      </c>
      <c r="G35" s="20">
        <v>4</v>
      </c>
      <c r="H35" s="24">
        <f t="shared" si="24"/>
        <v>0.5714285714285714</v>
      </c>
      <c r="I35" s="20">
        <v>1</v>
      </c>
      <c r="J35" s="24">
        <f t="shared" si="25"/>
        <v>0.14285714285714285</v>
      </c>
      <c r="K35" s="20">
        <v>1</v>
      </c>
      <c r="L35" s="24">
        <f t="shared" si="26"/>
        <v>0.14285714285714285</v>
      </c>
      <c r="M35" s="36">
        <v>0</v>
      </c>
      <c r="N35" s="25">
        <f t="shared" si="27"/>
        <v>0</v>
      </c>
      <c r="O35" s="36">
        <v>0</v>
      </c>
      <c r="P35" s="24">
        <f t="shared" si="28"/>
        <v>0</v>
      </c>
      <c r="Q35" s="20">
        <v>1</v>
      </c>
      <c r="R35" s="25">
        <f t="shared" si="29"/>
        <v>0.14285714285714285</v>
      </c>
      <c r="X35" s="14">
        <f>+X34</f>
        <v>718</v>
      </c>
    </row>
    <row r="36" spans="1:24" ht="34.5" customHeight="1" x14ac:dyDescent="0.2">
      <c r="A36" s="21">
        <f t="shared" si="30"/>
        <v>8</v>
      </c>
      <c r="B36" s="22" t="s">
        <v>98</v>
      </c>
      <c r="C36" s="20">
        <f t="shared" si="20"/>
        <v>7</v>
      </c>
      <c r="D36" s="23">
        <f t="shared" si="21"/>
        <v>9.7493036211699167E-3</v>
      </c>
      <c r="E36" s="20">
        <f t="shared" si="22"/>
        <v>6</v>
      </c>
      <c r="F36" s="23">
        <f t="shared" si="23"/>
        <v>0.8571428571428571</v>
      </c>
      <c r="G36" s="20">
        <v>4</v>
      </c>
      <c r="H36" s="24">
        <f t="shared" si="24"/>
        <v>0.5714285714285714</v>
      </c>
      <c r="I36" s="36">
        <v>0</v>
      </c>
      <c r="J36" s="24">
        <f t="shared" si="25"/>
        <v>0</v>
      </c>
      <c r="K36" s="20">
        <v>2</v>
      </c>
      <c r="L36" s="24">
        <f t="shared" si="26"/>
        <v>0.2857142857142857</v>
      </c>
      <c r="M36" s="36">
        <v>0</v>
      </c>
      <c r="N36" s="25">
        <f t="shared" si="27"/>
        <v>0</v>
      </c>
      <c r="O36" s="36">
        <v>0</v>
      </c>
      <c r="P36" s="24">
        <f t="shared" si="28"/>
        <v>0</v>
      </c>
      <c r="Q36" s="20">
        <v>1</v>
      </c>
      <c r="R36" s="25">
        <f t="shared" si="29"/>
        <v>0.14285714285714285</v>
      </c>
      <c r="X36" s="14">
        <f>+X38</f>
        <v>718</v>
      </c>
    </row>
    <row r="37" spans="1:24" ht="34.5" customHeight="1" x14ac:dyDescent="0.2">
      <c r="A37" s="21">
        <f t="shared" si="30"/>
        <v>9</v>
      </c>
      <c r="B37" s="22" t="s">
        <v>97</v>
      </c>
      <c r="C37" s="20">
        <f t="shared" si="20"/>
        <v>5</v>
      </c>
      <c r="D37" s="23">
        <f t="shared" si="21"/>
        <v>6.9637883008356544E-3</v>
      </c>
      <c r="E37" s="20">
        <f t="shared" si="22"/>
        <v>1</v>
      </c>
      <c r="F37" s="23">
        <f t="shared" si="23"/>
        <v>0.2</v>
      </c>
      <c r="G37" s="20">
        <v>1</v>
      </c>
      <c r="H37" s="24">
        <f t="shared" si="24"/>
        <v>0.2</v>
      </c>
      <c r="I37" s="36">
        <v>0</v>
      </c>
      <c r="J37" s="24">
        <f t="shared" si="25"/>
        <v>0</v>
      </c>
      <c r="K37" s="36">
        <v>0</v>
      </c>
      <c r="L37" s="24">
        <f t="shared" si="26"/>
        <v>0</v>
      </c>
      <c r="M37" s="36">
        <v>0</v>
      </c>
      <c r="N37" s="25">
        <f t="shared" si="27"/>
        <v>0</v>
      </c>
      <c r="O37" s="20">
        <v>4</v>
      </c>
      <c r="P37" s="24">
        <f t="shared" si="28"/>
        <v>0.8</v>
      </c>
      <c r="Q37" s="36">
        <v>0</v>
      </c>
      <c r="R37" s="25">
        <f t="shared" si="29"/>
        <v>0</v>
      </c>
      <c r="X37" s="14">
        <f>+X36</f>
        <v>718</v>
      </c>
    </row>
    <row r="38" spans="1:24" ht="33.75" customHeight="1" x14ac:dyDescent="0.2">
      <c r="A38" s="21">
        <f t="shared" si="30"/>
        <v>10</v>
      </c>
      <c r="B38" s="22" t="s">
        <v>99</v>
      </c>
      <c r="C38" s="20">
        <f t="shared" si="20"/>
        <v>4</v>
      </c>
      <c r="D38" s="23">
        <f t="shared" si="21"/>
        <v>5.5710306406685237E-3</v>
      </c>
      <c r="E38" s="36">
        <v>0</v>
      </c>
      <c r="F38" s="23">
        <f t="shared" si="23"/>
        <v>0</v>
      </c>
      <c r="G38" s="36">
        <v>0</v>
      </c>
      <c r="H38" s="24">
        <f t="shared" si="24"/>
        <v>0</v>
      </c>
      <c r="I38" s="36">
        <v>0</v>
      </c>
      <c r="J38" s="24">
        <f t="shared" si="25"/>
        <v>0</v>
      </c>
      <c r="K38" s="36">
        <v>0</v>
      </c>
      <c r="L38" s="24">
        <f t="shared" si="26"/>
        <v>0</v>
      </c>
      <c r="M38" s="36">
        <v>0</v>
      </c>
      <c r="N38" s="25">
        <f t="shared" si="27"/>
        <v>0</v>
      </c>
      <c r="O38" s="20">
        <v>3</v>
      </c>
      <c r="P38" s="24">
        <f t="shared" si="28"/>
        <v>0.75</v>
      </c>
      <c r="Q38" s="20">
        <v>1</v>
      </c>
      <c r="R38" s="25">
        <f t="shared" si="29"/>
        <v>0.25</v>
      </c>
      <c r="X38" s="14">
        <f>+X35</f>
        <v>718</v>
      </c>
    </row>
    <row r="39" spans="1:24" s="14" customFormat="1" ht="33.75" customHeight="1" x14ac:dyDescent="0.2">
      <c r="A39" s="21">
        <f t="shared" si="30"/>
        <v>11</v>
      </c>
      <c r="B39" s="22" t="s">
        <v>95</v>
      </c>
      <c r="C39" s="20">
        <f t="shared" si="20"/>
        <v>1</v>
      </c>
      <c r="D39" s="23">
        <f t="shared" si="21"/>
        <v>1.3927576601671309E-3</v>
      </c>
      <c r="E39" s="36">
        <v>0</v>
      </c>
      <c r="F39" s="23">
        <f t="shared" si="23"/>
        <v>0</v>
      </c>
      <c r="G39" s="36">
        <v>0</v>
      </c>
      <c r="H39" s="24">
        <f t="shared" si="24"/>
        <v>0</v>
      </c>
      <c r="I39" s="36">
        <v>0</v>
      </c>
      <c r="J39" s="24">
        <f t="shared" si="25"/>
        <v>0</v>
      </c>
      <c r="K39" s="36">
        <v>0</v>
      </c>
      <c r="L39" s="24">
        <f t="shared" si="26"/>
        <v>0</v>
      </c>
      <c r="M39" s="36">
        <v>0</v>
      </c>
      <c r="N39" s="25">
        <f t="shared" si="27"/>
        <v>0</v>
      </c>
      <c r="O39" s="20">
        <v>1</v>
      </c>
      <c r="P39" s="24">
        <f t="shared" si="28"/>
        <v>1</v>
      </c>
      <c r="Q39" s="36">
        <v>0</v>
      </c>
      <c r="R39" s="25">
        <f t="shared" si="29"/>
        <v>0</v>
      </c>
      <c r="X39" s="14">
        <f>+X38</f>
        <v>718</v>
      </c>
    </row>
    <row r="40" spans="1:24" ht="23.25" customHeight="1" thickBot="1" x14ac:dyDescent="0.25">
      <c r="A40" s="21">
        <f t="shared" si="30"/>
        <v>12</v>
      </c>
      <c r="B40" s="22" t="s">
        <v>71</v>
      </c>
      <c r="C40" s="20">
        <f t="shared" si="20"/>
        <v>1</v>
      </c>
      <c r="D40" s="23">
        <f>+C40/X40</f>
        <v>1.3927576601671309E-3</v>
      </c>
      <c r="E40" s="36">
        <v>0</v>
      </c>
      <c r="F40" s="23">
        <f t="shared" si="23"/>
        <v>0</v>
      </c>
      <c r="G40" s="36">
        <v>0</v>
      </c>
      <c r="H40" s="24">
        <f t="shared" si="24"/>
        <v>0</v>
      </c>
      <c r="I40" s="36">
        <v>0</v>
      </c>
      <c r="J40" s="24">
        <f t="shared" si="25"/>
        <v>0</v>
      </c>
      <c r="K40" s="36">
        <v>0</v>
      </c>
      <c r="L40" s="24">
        <f t="shared" si="26"/>
        <v>0</v>
      </c>
      <c r="M40" s="36">
        <v>0</v>
      </c>
      <c r="N40" s="25">
        <f t="shared" si="27"/>
        <v>0</v>
      </c>
      <c r="O40" s="20">
        <v>1</v>
      </c>
      <c r="P40" s="24">
        <f>+O40/C40</f>
        <v>1</v>
      </c>
      <c r="Q40" s="36">
        <v>0</v>
      </c>
      <c r="R40" s="25">
        <f t="shared" si="29"/>
        <v>0</v>
      </c>
      <c r="X40" s="14">
        <f>+X39</f>
        <v>718</v>
      </c>
    </row>
    <row r="41" spans="1:24" ht="16.5" thickBot="1" x14ac:dyDescent="0.3">
      <c r="A41" s="188" t="s">
        <v>14</v>
      </c>
      <c r="B41" s="189"/>
      <c r="C41" s="49">
        <f>SUM(C29:C40)</f>
        <v>718</v>
      </c>
      <c r="D41" s="42">
        <f t="shared" ref="D41" si="31">+C41/X41</f>
        <v>1</v>
      </c>
      <c r="E41" s="43">
        <f>SUM(E29:E40)</f>
        <v>602</v>
      </c>
      <c r="F41" s="50">
        <f t="shared" ref="F41" si="32">+E41/C41</f>
        <v>0.83844011142061281</v>
      </c>
      <c r="G41" s="45">
        <f>SUM(G29:G40)</f>
        <v>454</v>
      </c>
      <c r="H41" s="51">
        <f t="shared" ref="H41" si="33">+G41/C41</f>
        <v>0.63231197771587744</v>
      </c>
      <c r="I41" s="45">
        <f>SUM(I29:I40)</f>
        <v>26</v>
      </c>
      <c r="J41" s="51">
        <f t="shared" si="25"/>
        <v>3.6211699164345405E-2</v>
      </c>
      <c r="K41" s="45">
        <f>SUM(K29:K40)</f>
        <v>114</v>
      </c>
      <c r="L41" s="51">
        <f t="shared" si="26"/>
        <v>0.15877437325905291</v>
      </c>
      <c r="M41" s="45">
        <f>SUM(M29:M40)</f>
        <v>8</v>
      </c>
      <c r="N41" s="52">
        <f t="shared" si="27"/>
        <v>1.1142061281337047E-2</v>
      </c>
      <c r="O41" s="45">
        <f>SUM(O29:O40)</f>
        <v>87</v>
      </c>
      <c r="P41" s="51">
        <f>+O41/C41</f>
        <v>0.12116991643454039</v>
      </c>
      <c r="Q41" s="45">
        <f>SUM(Q29:Q40)</f>
        <v>29</v>
      </c>
      <c r="R41" s="48">
        <f t="shared" si="29"/>
        <v>4.0389972144846797E-2</v>
      </c>
      <c r="X41" s="14">
        <f>+X40</f>
        <v>718</v>
      </c>
    </row>
  </sheetData>
  <autoFilter ref="A5:Y5" xr:uid="{63318AA7-94A8-4E12-85BA-1392170AA125}">
    <sortState xmlns:xlrd2="http://schemas.microsoft.com/office/spreadsheetml/2017/richdata2" ref="A8:Y26">
      <sortCondition descending="1" ref="C5"/>
    </sortState>
  </autoFilter>
  <mergeCells count="16">
    <mergeCell ref="A41:B41"/>
    <mergeCell ref="A1:R1"/>
    <mergeCell ref="A27:B27"/>
    <mergeCell ref="A28:R28"/>
    <mergeCell ref="G4:H4"/>
    <mergeCell ref="M4:N4"/>
    <mergeCell ref="K4:L4"/>
    <mergeCell ref="I4:J4"/>
    <mergeCell ref="E3:F4"/>
    <mergeCell ref="B3:B5"/>
    <mergeCell ref="A3:A5"/>
    <mergeCell ref="Q3:R4"/>
    <mergeCell ref="O3:P4"/>
    <mergeCell ref="G3:N3"/>
    <mergeCell ref="C3:D4"/>
    <mergeCell ref="P2:R2"/>
  </mergeCells>
  <pageMargins left="0" right="0" top="0.35433070866141736" bottom="0" header="0" footer="0"/>
  <pageSetup paperSize="9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35AD9-1908-4FF4-B971-166FB308B28C}">
  <sheetPr>
    <pageSetUpPr fitToPage="1"/>
  </sheetPr>
  <dimension ref="A1:AI26"/>
  <sheetViews>
    <sheetView view="pageBreakPreview" topLeftCell="A7" zoomScale="60" zoomScaleNormal="85" workbookViewId="0">
      <selection activeCell="AC21" sqref="AC21"/>
    </sheetView>
  </sheetViews>
  <sheetFormatPr defaultRowHeight="14.25" x14ac:dyDescent="0.2"/>
  <cols>
    <col min="1" max="1" width="6.85546875" style="14" customWidth="1"/>
    <col min="2" max="2" width="27.5703125" style="2" customWidth="1"/>
    <col min="3" max="4" width="14" style="2" customWidth="1"/>
    <col min="5" max="6" width="13.140625" style="2" customWidth="1"/>
    <col min="7" max="12" width="13.140625" style="14" customWidth="1"/>
    <col min="13" max="13" width="12.28515625" style="14" customWidth="1"/>
    <col min="14" max="14" width="13.5703125" style="14" customWidth="1"/>
    <col min="15" max="15" width="9.140625" style="14"/>
    <col min="16" max="16" width="11.140625" style="14" customWidth="1"/>
    <col min="17" max="17" width="9.140625" style="14"/>
    <col min="18" max="18" width="13.42578125" style="14" customWidth="1"/>
    <col min="19" max="20" width="11.7109375" style="14" customWidth="1"/>
    <col min="21" max="21" width="13.42578125" style="14" customWidth="1"/>
    <col min="22" max="16384" width="9.140625" style="14"/>
  </cols>
  <sheetData>
    <row r="1" spans="1:35" ht="47.25" customHeight="1" x14ac:dyDescent="0.2">
      <c r="A1" s="209" t="s">
        <v>76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103"/>
      <c r="U1" s="103"/>
    </row>
    <row r="2" spans="1:35" ht="26.25" customHeight="1" thickBot="1" x14ac:dyDescent="0.25">
      <c r="A2" s="103"/>
      <c r="B2" s="103"/>
      <c r="C2" s="103"/>
      <c r="D2" s="103"/>
      <c r="E2" s="86"/>
      <c r="F2" s="86"/>
      <c r="G2" s="86"/>
      <c r="H2" s="86"/>
      <c r="I2" s="86"/>
      <c r="J2" s="86"/>
      <c r="K2" s="86"/>
      <c r="L2" s="86"/>
      <c r="M2" s="86"/>
      <c r="N2" s="86"/>
      <c r="P2" s="210" t="s">
        <v>102</v>
      </c>
      <c r="Q2" s="210"/>
      <c r="R2" s="210"/>
      <c r="S2" s="98"/>
      <c r="T2" s="98"/>
      <c r="U2" s="98"/>
    </row>
    <row r="3" spans="1:35" s="3" customFormat="1" ht="36" customHeight="1" thickBot="1" x14ac:dyDescent="0.3">
      <c r="A3" s="211" t="s">
        <v>0</v>
      </c>
      <c r="B3" s="200" t="s">
        <v>1</v>
      </c>
      <c r="C3" s="196" t="s">
        <v>36</v>
      </c>
      <c r="D3" s="197"/>
      <c r="E3" s="213" t="s">
        <v>39</v>
      </c>
      <c r="F3" s="214"/>
      <c r="G3" s="213" t="s">
        <v>40</v>
      </c>
      <c r="H3" s="215"/>
      <c r="I3" s="216" t="s">
        <v>41</v>
      </c>
      <c r="J3" s="215"/>
      <c r="K3" s="213" t="s">
        <v>50</v>
      </c>
      <c r="L3" s="215"/>
      <c r="M3" s="213" t="s">
        <v>70</v>
      </c>
      <c r="N3" s="215"/>
      <c r="O3" s="213" t="s">
        <v>75</v>
      </c>
      <c r="P3" s="215"/>
      <c r="Q3" s="213" t="s">
        <v>100</v>
      </c>
      <c r="R3" s="215"/>
      <c r="S3" s="213" t="s">
        <v>101</v>
      </c>
      <c r="T3" s="215"/>
      <c r="U3" s="213" t="s">
        <v>103</v>
      </c>
      <c r="V3" s="215"/>
    </row>
    <row r="4" spans="1:35" s="3" customFormat="1" ht="41.25" customHeight="1" thickBot="1" x14ac:dyDescent="0.3">
      <c r="A4" s="212"/>
      <c r="B4" s="202"/>
      <c r="C4" s="100" t="s">
        <v>37</v>
      </c>
      <c r="D4" s="104" t="s">
        <v>38</v>
      </c>
      <c r="E4" s="100" t="s">
        <v>37</v>
      </c>
      <c r="F4" s="104" t="s">
        <v>38</v>
      </c>
      <c r="G4" s="53" t="s">
        <v>37</v>
      </c>
      <c r="H4" s="53" t="s">
        <v>38</v>
      </c>
      <c r="I4" s="105" t="s">
        <v>37</v>
      </c>
      <c r="J4" s="101" t="s">
        <v>38</v>
      </c>
      <c r="K4" s="100" t="s">
        <v>37</v>
      </c>
      <c r="L4" s="101" t="s">
        <v>38</v>
      </c>
      <c r="M4" s="100" t="s">
        <v>37</v>
      </c>
      <c r="N4" s="101" t="s">
        <v>38</v>
      </c>
      <c r="O4" s="100" t="s">
        <v>37</v>
      </c>
      <c r="P4" s="101" t="s">
        <v>38</v>
      </c>
      <c r="Q4" s="100" t="s">
        <v>37</v>
      </c>
      <c r="R4" s="101" t="s">
        <v>38</v>
      </c>
      <c r="S4" s="100" t="s">
        <v>37</v>
      </c>
      <c r="T4" s="101" t="s">
        <v>38</v>
      </c>
      <c r="U4" s="100" t="s">
        <v>37</v>
      </c>
      <c r="V4" s="101" t="s">
        <v>38</v>
      </c>
    </row>
    <row r="5" spans="1:35" ht="36" customHeight="1" x14ac:dyDescent="0.2">
      <c r="A5" s="121">
        <v>1</v>
      </c>
      <c r="B5" s="122" t="s">
        <v>23</v>
      </c>
      <c r="C5" s="120">
        <f t="shared" ref="C5:C25" si="0">+E5+G5+I5+K5+M5+O5+Q5+S5+U5</f>
        <v>134</v>
      </c>
      <c r="D5" s="126">
        <f t="shared" ref="D5:D26" si="1">+C5/Y5</f>
        <v>0.18662952646239556</v>
      </c>
      <c r="E5" s="129">
        <v>4</v>
      </c>
      <c r="F5" s="130">
        <f t="shared" ref="F5:F24" si="2">+E5/C5</f>
        <v>2.9850746268656716E-2</v>
      </c>
      <c r="G5" s="120">
        <v>7</v>
      </c>
      <c r="H5" s="126">
        <f t="shared" ref="H5:H24" si="3">+G5/C5</f>
        <v>5.2238805970149252E-2</v>
      </c>
      <c r="I5" s="129">
        <v>15</v>
      </c>
      <c r="J5" s="130">
        <f t="shared" ref="J5:J24" si="4">+I5/C5</f>
        <v>0.11194029850746269</v>
      </c>
      <c r="K5" s="120">
        <v>36</v>
      </c>
      <c r="L5" s="126">
        <f t="shared" ref="L5:L24" si="5">+K5/C5</f>
        <v>0.26865671641791045</v>
      </c>
      <c r="M5" s="129">
        <v>16</v>
      </c>
      <c r="N5" s="130">
        <f t="shared" ref="N5:N24" si="6">+M5/C5</f>
        <v>0.11940298507462686</v>
      </c>
      <c r="O5" s="120">
        <v>17</v>
      </c>
      <c r="P5" s="126">
        <f t="shared" ref="P5:P24" si="7">+O5/C5</f>
        <v>0.12686567164179105</v>
      </c>
      <c r="Q5" s="129">
        <v>14</v>
      </c>
      <c r="R5" s="130">
        <f t="shared" ref="R5:R24" si="8">+Q5/C5</f>
        <v>0.1044776119402985</v>
      </c>
      <c r="S5" s="120">
        <v>17</v>
      </c>
      <c r="T5" s="126">
        <f t="shared" ref="T5:T26" si="9">+S5/C5</f>
        <v>0.12686567164179105</v>
      </c>
      <c r="U5" s="129">
        <v>8</v>
      </c>
      <c r="V5" s="130">
        <f t="shared" ref="V5:V26" si="10">+U5/C5</f>
        <v>5.9701492537313432E-2</v>
      </c>
      <c r="Y5" s="14">
        <v>718</v>
      </c>
    </row>
    <row r="6" spans="1:35" ht="36" customHeight="1" x14ac:dyDescent="0.2">
      <c r="A6" s="118">
        <f t="shared" ref="A6:A25" si="11">+A5+1</f>
        <v>2</v>
      </c>
      <c r="B6" s="123" t="s">
        <v>10</v>
      </c>
      <c r="C6" s="120">
        <f t="shared" si="0"/>
        <v>104</v>
      </c>
      <c r="D6" s="126">
        <f t="shared" si="1"/>
        <v>0.14484679665738162</v>
      </c>
      <c r="E6" s="131">
        <v>2</v>
      </c>
      <c r="F6" s="119">
        <f t="shared" si="2"/>
        <v>1.9230769230769232E-2</v>
      </c>
      <c r="G6" s="120">
        <v>14</v>
      </c>
      <c r="H6" s="126">
        <f t="shared" si="3"/>
        <v>0.13461538461538461</v>
      </c>
      <c r="I6" s="131">
        <v>9</v>
      </c>
      <c r="J6" s="119">
        <f t="shared" si="4"/>
        <v>8.6538461538461536E-2</v>
      </c>
      <c r="K6" s="120">
        <v>11</v>
      </c>
      <c r="L6" s="126">
        <f t="shared" si="5"/>
        <v>0.10576923076923077</v>
      </c>
      <c r="M6" s="131">
        <v>18</v>
      </c>
      <c r="N6" s="119">
        <f t="shared" si="6"/>
        <v>0.17307692307692307</v>
      </c>
      <c r="O6" s="120">
        <v>23</v>
      </c>
      <c r="P6" s="126">
        <f t="shared" si="7"/>
        <v>0.22115384615384615</v>
      </c>
      <c r="Q6" s="131">
        <v>9</v>
      </c>
      <c r="R6" s="119">
        <f t="shared" si="8"/>
        <v>8.6538461538461536E-2</v>
      </c>
      <c r="S6" s="120">
        <v>11</v>
      </c>
      <c r="T6" s="126">
        <f t="shared" si="9"/>
        <v>0.10576923076923077</v>
      </c>
      <c r="U6" s="131">
        <v>7</v>
      </c>
      <c r="V6" s="119">
        <f t="shared" si="10"/>
        <v>6.7307692307692304E-2</v>
      </c>
      <c r="Y6" s="14">
        <v>718</v>
      </c>
    </row>
    <row r="7" spans="1:35" ht="36" customHeight="1" x14ac:dyDescent="0.2">
      <c r="A7" s="118">
        <f t="shared" si="11"/>
        <v>3</v>
      </c>
      <c r="B7" s="123" t="s">
        <v>24</v>
      </c>
      <c r="C7" s="120">
        <f t="shared" si="0"/>
        <v>58</v>
      </c>
      <c r="D7" s="126">
        <f t="shared" si="1"/>
        <v>8.0779944289693595E-2</v>
      </c>
      <c r="E7" s="132">
        <v>5</v>
      </c>
      <c r="F7" s="133">
        <f t="shared" si="2"/>
        <v>8.6206896551724144E-2</v>
      </c>
      <c r="G7" s="127">
        <v>4</v>
      </c>
      <c r="H7" s="136">
        <f t="shared" si="3"/>
        <v>6.8965517241379309E-2</v>
      </c>
      <c r="I7" s="132">
        <v>7</v>
      </c>
      <c r="J7" s="133">
        <f t="shared" si="4"/>
        <v>0.1206896551724138</v>
      </c>
      <c r="K7" s="127">
        <v>6</v>
      </c>
      <c r="L7" s="136">
        <f t="shared" si="5"/>
        <v>0.10344827586206896</v>
      </c>
      <c r="M7" s="132">
        <v>15</v>
      </c>
      <c r="N7" s="133">
        <f t="shared" si="6"/>
        <v>0.25862068965517243</v>
      </c>
      <c r="O7" s="127">
        <v>6</v>
      </c>
      <c r="P7" s="126">
        <f t="shared" si="7"/>
        <v>0.10344827586206896</v>
      </c>
      <c r="Q7" s="132">
        <v>5</v>
      </c>
      <c r="R7" s="119">
        <f t="shared" si="8"/>
        <v>8.6206896551724144E-2</v>
      </c>
      <c r="S7" s="127">
        <v>5</v>
      </c>
      <c r="T7" s="126">
        <f t="shared" si="9"/>
        <v>8.6206896551724144E-2</v>
      </c>
      <c r="U7" s="131">
        <v>5</v>
      </c>
      <c r="V7" s="119">
        <f t="shared" si="10"/>
        <v>8.6206896551724144E-2</v>
      </c>
      <c r="Y7" s="14">
        <v>718</v>
      </c>
    </row>
    <row r="8" spans="1:35" ht="36" customHeight="1" x14ac:dyDescent="0.2">
      <c r="A8" s="118">
        <f t="shared" si="11"/>
        <v>4</v>
      </c>
      <c r="B8" s="123" t="s">
        <v>25</v>
      </c>
      <c r="C8" s="120">
        <f t="shared" si="0"/>
        <v>50</v>
      </c>
      <c r="D8" s="126">
        <f t="shared" si="1"/>
        <v>6.9637883008356549E-2</v>
      </c>
      <c r="E8" s="132">
        <v>2</v>
      </c>
      <c r="F8" s="133">
        <f t="shared" si="2"/>
        <v>0.04</v>
      </c>
      <c r="G8" s="127">
        <v>4</v>
      </c>
      <c r="H8" s="136">
        <f t="shared" si="3"/>
        <v>0.08</v>
      </c>
      <c r="I8" s="132">
        <v>7</v>
      </c>
      <c r="J8" s="133">
        <f t="shared" si="4"/>
        <v>0.14000000000000001</v>
      </c>
      <c r="K8" s="127">
        <v>3</v>
      </c>
      <c r="L8" s="136">
        <f t="shared" si="5"/>
        <v>0.06</v>
      </c>
      <c r="M8" s="132">
        <v>9</v>
      </c>
      <c r="N8" s="133">
        <f t="shared" si="6"/>
        <v>0.18</v>
      </c>
      <c r="O8" s="127">
        <v>6</v>
      </c>
      <c r="P8" s="126">
        <f t="shared" si="7"/>
        <v>0.12</v>
      </c>
      <c r="Q8" s="132">
        <v>7</v>
      </c>
      <c r="R8" s="119">
        <f t="shared" si="8"/>
        <v>0.14000000000000001</v>
      </c>
      <c r="S8" s="127">
        <v>10</v>
      </c>
      <c r="T8" s="126">
        <f t="shared" si="9"/>
        <v>0.2</v>
      </c>
      <c r="U8" s="131">
        <v>2</v>
      </c>
      <c r="V8" s="119">
        <f t="shared" si="10"/>
        <v>0.04</v>
      </c>
      <c r="Y8" s="14">
        <v>718</v>
      </c>
    </row>
    <row r="9" spans="1:35" ht="36" customHeight="1" x14ac:dyDescent="0.2">
      <c r="A9" s="118">
        <f t="shared" si="11"/>
        <v>5</v>
      </c>
      <c r="B9" s="123" t="s">
        <v>22</v>
      </c>
      <c r="C9" s="120">
        <f t="shared" si="0"/>
        <v>44</v>
      </c>
      <c r="D9" s="126">
        <f t="shared" si="1"/>
        <v>6.1281337047353758E-2</v>
      </c>
      <c r="E9" s="132">
        <v>4</v>
      </c>
      <c r="F9" s="133">
        <f t="shared" si="2"/>
        <v>9.0909090909090912E-2</v>
      </c>
      <c r="G9" s="127">
        <v>6</v>
      </c>
      <c r="H9" s="136">
        <f t="shared" si="3"/>
        <v>0.13636363636363635</v>
      </c>
      <c r="I9" s="132">
        <v>9</v>
      </c>
      <c r="J9" s="133">
        <f t="shared" si="4"/>
        <v>0.20454545454545456</v>
      </c>
      <c r="K9" s="127">
        <v>5</v>
      </c>
      <c r="L9" s="136">
        <f t="shared" si="5"/>
        <v>0.11363636363636363</v>
      </c>
      <c r="M9" s="132">
        <v>3</v>
      </c>
      <c r="N9" s="133">
        <f t="shared" si="6"/>
        <v>6.8181818181818177E-2</v>
      </c>
      <c r="O9" s="127">
        <v>6</v>
      </c>
      <c r="P9" s="126">
        <f t="shared" si="7"/>
        <v>0.13636363636363635</v>
      </c>
      <c r="Q9" s="132">
        <v>4</v>
      </c>
      <c r="R9" s="119">
        <f t="shared" si="8"/>
        <v>9.0909090909090912E-2</v>
      </c>
      <c r="S9" s="127">
        <v>3</v>
      </c>
      <c r="T9" s="126">
        <f t="shared" si="9"/>
        <v>6.8181818181818177E-2</v>
      </c>
      <c r="U9" s="131">
        <v>4</v>
      </c>
      <c r="V9" s="119">
        <f t="shared" si="10"/>
        <v>9.0909090909090912E-2</v>
      </c>
      <c r="Y9" s="14">
        <v>718</v>
      </c>
    </row>
    <row r="10" spans="1:35" ht="36" customHeight="1" x14ac:dyDescent="0.2">
      <c r="A10" s="118">
        <f t="shared" si="11"/>
        <v>6</v>
      </c>
      <c r="B10" s="123" t="s">
        <v>26</v>
      </c>
      <c r="C10" s="120">
        <f t="shared" si="0"/>
        <v>41</v>
      </c>
      <c r="D10" s="126">
        <f t="shared" si="1"/>
        <v>5.7103064066852366E-2</v>
      </c>
      <c r="E10" s="132">
        <v>1</v>
      </c>
      <c r="F10" s="133">
        <f t="shared" si="2"/>
        <v>2.4390243902439025E-2</v>
      </c>
      <c r="G10" s="127">
        <v>4</v>
      </c>
      <c r="H10" s="136">
        <f t="shared" si="3"/>
        <v>9.7560975609756101E-2</v>
      </c>
      <c r="I10" s="132">
        <v>4</v>
      </c>
      <c r="J10" s="133">
        <f t="shared" si="4"/>
        <v>9.7560975609756101E-2</v>
      </c>
      <c r="K10" s="127">
        <v>3</v>
      </c>
      <c r="L10" s="136">
        <f t="shared" si="5"/>
        <v>7.3170731707317069E-2</v>
      </c>
      <c r="M10" s="132">
        <v>9</v>
      </c>
      <c r="N10" s="133">
        <f t="shared" si="6"/>
        <v>0.21951219512195122</v>
      </c>
      <c r="O10" s="127">
        <v>5</v>
      </c>
      <c r="P10" s="126">
        <f t="shared" si="7"/>
        <v>0.12195121951219512</v>
      </c>
      <c r="Q10" s="132">
        <v>7</v>
      </c>
      <c r="R10" s="119">
        <f t="shared" si="8"/>
        <v>0.17073170731707318</v>
      </c>
      <c r="S10" s="127">
        <v>3</v>
      </c>
      <c r="T10" s="126">
        <f t="shared" si="9"/>
        <v>7.3170731707317069E-2</v>
      </c>
      <c r="U10" s="131">
        <v>5</v>
      </c>
      <c r="V10" s="119">
        <f t="shared" si="10"/>
        <v>0.12195121951219512</v>
      </c>
      <c r="Y10" s="14">
        <v>718</v>
      </c>
      <c r="AI10" s="14" t="s">
        <v>77</v>
      </c>
    </row>
    <row r="11" spans="1:35" ht="36" customHeight="1" x14ac:dyDescent="0.2">
      <c r="A11" s="118">
        <f t="shared" si="11"/>
        <v>7</v>
      </c>
      <c r="B11" s="123" t="s">
        <v>29</v>
      </c>
      <c r="C11" s="120">
        <f t="shared" si="0"/>
        <v>41</v>
      </c>
      <c r="D11" s="126">
        <f t="shared" si="1"/>
        <v>5.7103064066852366E-2</v>
      </c>
      <c r="E11" s="132">
        <v>2</v>
      </c>
      <c r="F11" s="133">
        <f t="shared" si="2"/>
        <v>4.878048780487805E-2</v>
      </c>
      <c r="G11" s="128">
        <v>0</v>
      </c>
      <c r="H11" s="136">
        <f t="shared" si="3"/>
        <v>0</v>
      </c>
      <c r="I11" s="132">
        <v>2</v>
      </c>
      <c r="J11" s="133">
        <f t="shared" si="4"/>
        <v>4.878048780487805E-2</v>
      </c>
      <c r="K11" s="127">
        <v>3</v>
      </c>
      <c r="L11" s="136">
        <f t="shared" si="5"/>
        <v>7.3170731707317069E-2</v>
      </c>
      <c r="M11" s="132">
        <v>7</v>
      </c>
      <c r="N11" s="133">
        <f t="shared" si="6"/>
        <v>0.17073170731707318</v>
      </c>
      <c r="O11" s="127">
        <v>1</v>
      </c>
      <c r="P11" s="126">
        <f t="shared" si="7"/>
        <v>2.4390243902439025E-2</v>
      </c>
      <c r="Q11" s="132">
        <v>8</v>
      </c>
      <c r="R11" s="119">
        <f t="shared" si="8"/>
        <v>0.1951219512195122</v>
      </c>
      <c r="S11" s="127">
        <v>11</v>
      </c>
      <c r="T11" s="126">
        <f t="shared" si="9"/>
        <v>0.26829268292682928</v>
      </c>
      <c r="U11" s="131">
        <v>7</v>
      </c>
      <c r="V11" s="119">
        <f t="shared" si="10"/>
        <v>0.17073170731707318</v>
      </c>
      <c r="Y11" s="14">
        <v>718</v>
      </c>
    </row>
    <row r="12" spans="1:35" ht="36" customHeight="1" x14ac:dyDescent="0.2">
      <c r="A12" s="118">
        <f t="shared" si="11"/>
        <v>8</v>
      </c>
      <c r="B12" s="123" t="s">
        <v>7</v>
      </c>
      <c r="C12" s="120">
        <f t="shared" si="0"/>
        <v>32</v>
      </c>
      <c r="D12" s="126">
        <f t="shared" si="1"/>
        <v>4.456824512534819E-2</v>
      </c>
      <c r="E12" s="132">
        <v>1</v>
      </c>
      <c r="F12" s="133">
        <f t="shared" si="2"/>
        <v>3.125E-2</v>
      </c>
      <c r="G12" s="127">
        <v>2</v>
      </c>
      <c r="H12" s="136">
        <f t="shared" si="3"/>
        <v>6.25E-2</v>
      </c>
      <c r="I12" s="132">
        <v>2</v>
      </c>
      <c r="J12" s="133">
        <f t="shared" si="4"/>
        <v>6.25E-2</v>
      </c>
      <c r="K12" s="127">
        <v>10</v>
      </c>
      <c r="L12" s="136">
        <f t="shared" si="5"/>
        <v>0.3125</v>
      </c>
      <c r="M12" s="132">
        <v>3</v>
      </c>
      <c r="N12" s="133">
        <f t="shared" si="6"/>
        <v>9.375E-2</v>
      </c>
      <c r="O12" s="127">
        <v>8</v>
      </c>
      <c r="P12" s="126">
        <f t="shared" si="7"/>
        <v>0.25</v>
      </c>
      <c r="Q12" s="132">
        <v>0</v>
      </c>
      <c r="R12" s="119">
        <f t="shared" si="8"/>
        <v>0</v>
      </c>
      <c r="S12" s="127">
        <v>5</v>
      </c>
      <c r="T12" s="126">
        <f t="shared" si="9"/>
        <v>0.15625</v>
      </c>
      <c r="U12" s="131">
        <v>1</v>
      </c>
      <c r="V12" s="119">
        <f t="shared" si="10"/>
        <v>3.125E-2</v>
      </c>
      <c r="Y12" s="14">
        <v>718</v>
      </c>
    </row>
    <row r="13" spans="1:35" ht="36" customHeight="1" x14ac:dyDescent="0.2">
      <c r="A13" s="118">
        <f t="shared" si="11"/>
        <v>9</v>
      </c>
      <c r="B13" s="123" t="s">
        <v>9</v>
      </c>
      <c r="C13" s="120">
        <f t="shared" si="0"/>
        <v>31</v>
      </c>
      <c r="D13" s="126">
        <f t="shared" si="1"/>
        <v>4.3175487465181059E-2</v>
      </c>
      <c r="E13" s="132">
        <v>2</v>
      </c>
      <c r="F13" s="133">
        <f t="shared" si="2"/>
        <v>6.4516129032258063E-2</v>
      </c>
      <c r="G13" s="127">
        <v>3</v>
      </c>
      <c r="H13" s="136">
        <f t="shared" si="3"/>
        <v>9.6774193548387094E-2</v>
      </c>
      <c r="I13" s="132">
        <v>6</v>
      </c>
      <c r="J13" s="133">
        <f t="shared" si="4"/>
        <v>0.19354838709677419</v>
      </c>
      <c r="K13" s="127">
        <v>5</v>
      </c>
      <c r="L13" s="136">
        <f t="shared" si="5"/>
        <v>0.16129032258064516</v>
      </c>
      <c r="M13" s="132">
        <v>4</v>
      </c>
      <c r="N13" s="133">
        <f t="shared" si="6"/>
        <v>0.12903225806451613</v>
      </c>
      <c r="O13" s="127">
        <v>4</v>
      </c>
      <c r="P13" s="126">
        <f t="shared" si="7"/>
        <v>0.12903225806451613</v>
      </c>
      <c r="Q13" s="132">
        <v>0</v>
      </c>
      <c r="R13" s="119">
        <f t="shared" si="8"/>
        <v>0</v>
      </c>
      <c r="S13" s="127">
        <v>5</v>
      </c>
      <c r="T13" s="126">
        <f t="shared" si="9"/>
        <v>0.16129032258064516</v>
      </c>
      <c r="U13" s="131">
        <v>2</v>
      </c>
      <c r="V13" s="119">
        <f t="shared" si="10"/>
        <v>6.4516129032258063E-2</v>
      </c>
      <c r="Y13" s="14">
        <v>718</v>
      </c>
    </row>
    <row r="14" spans="1:35" ht="36" customHeight="1" x14ac:dyDescent="0.2">
      <c r="A14" s="118">
        <f t="shared" si="11"/>
        <v>10</v>
      </c>
      <c r="B14" s="123" t="s">
        <v>12</v>
      </c>
      <c r="C14" s="120">
        <f t="shared" si="0"/>
        <v>25</v>
      </c>
      <c r="D14" s="126">
        <f t="shared" si="1"/>
        <v>3.4818941504178275E-2</v>
      </c>
      <c r="E14" s="132">
        <v>1</v>
      </c>
      <c r="F14" s="133">
        <f t="shared" si="2"/>
        <v>0.04</v>
      </c>
      <c r="G14" s="127">
        <v>3</v>
      </c>
      <c r="H14" s="136">
        <f t="shared" si="3"/>
        <v>0.12</v>
      </c>
      <c r="I14" s="132">
        <v>5</v>
      </c>
      <c r="J14" s="133">
        <f t="shared" si="4"/>
        <v>0.2</v>
      </c>
      <c r="K14" s="127">
        <v>2</v>
      </c>
      <c r="L14" s="136">
        <f t="shared" si="5"/>
        <v>0.08</v>
      </c>
      <c r="M14" s="132">
        <v>1</v>
      </c>
      <c r="N14" s="133">
        <f t="shared" si="6"/>
        <v>0.04</v>
      </c>
      <c r="O14" s="127">
        <v>3</v>
      </c>
      <c r="P14" s="126">
        <f t="shared" si="7"/>
        <v>0.12</v>
      </c>
      <c r="Q14" s="132">
        <v>2</v>
      </c>
      <c r="R14" s="119">
        <f t="shared" si="8"/>
        <v>0.08</v>
      </c>
      <c r="S14" s="127">
        <v>5</v>
      </c>
      <c r="T14" s="126">
        <f t="shared" si="9"/>
        <v>0.2</v>
      </c>
      <c r="U14" s="131">
        <v>3</v>
      </c>
      <c r="V14" s="119">
        <f t="shared" si="10"/>
        <v>0.12</v>
      </c>
      <c r="Y14" s="14">
        <v>718</v>
      </c>
    </row>
    <row r="15" spans="1:35" ht="36" customHeight="1" x14ac:dyDescent="0.2">
      <c r="A15" s="118">
        <f t="shared" si="11"/>
        <v>11</v>
      </c>
      <c r="B15" s="123" t="s">
        <v>13</v>
      </c>
      <c r="C15" s="120">
        <f t="shared" si="0"/>
        <v>22</v>
      </c>
      <c r="D15" s="126">
        <f t="shared" si="1"/>
        <v>3.0640668523676879E-2</v>
      </c>
      <c r="E15" s="132">
        <v>3</v>
      </c>
      <c r="F15" s="133">
        <f t="shared" si="2"/>
        <v>0.13636363636363635</v>
      </c>
      <c r="G15" s="127">
        <v>3</v>
      </c>
      <c r="H15" s="136">
        <f t="shared" si="3"/>
        <v>0.13636363636363635</v>
      </c>
      <c r="I15" s="132">
        <v>4</v>
      </c>
      <c r="J15" s="133">
        <f t="shared" si="4"/>
        <v>0.18181818181818182</v>
      </c>
      <c r="K15" s="127">
        <v>4</v>
      </c>
      <c r="L15" s="136">
        <f t="shared" si="5"/>
        <v>0.18181818181818182</v>
      </c>
      <c r="M15" s="132">
        <v>1</v>
      </c>
      <c r="N15" s="133">
        <f t="shared" si="6"/>
        <v>4.5454545454545456E-2</v>
      </c>
      <c r="O15" s="127">
        <v>1</v>
      </c>
      <c r="P15" s="126">
        <f t="shared" si="7"/>
        <v>4.5454545454545456E-2</v>
      </c>
      <c r="Q15" s="132">
        <v>1</v>
      </c>
      <c r="R15" s="119">
        <f t="shared" si="8"/>
        <v>4.5454545454545456E-2</v>
      </c>
      <c r="S15" s="127">
        <v>3</v>
      </c>
      <c r="T15" s="126">
        <f t="shared" si="9"/>
        <v>0.13636363636363635</v>
      </c>
      <c r="U15" s="131">
        <v>2</v>
      </c>
      <c r="V15" s="119">
        <f t="shared" si="10"/>
        <v>9.0909090909090912E-2</v>
      </c>
      <c r="Y15" s="14">
        <v>718</v>
      </c>
    </row>
    <row r="16" spans="1:35" ht="36" customHeight="1" x14ac:dyDescent="0.2">
      <c r="A16" s="118">
        <f t="shared" si="11"/>
        <v>12</v>
      </c>
      <c r="B16" s="123" t="s">
        <v>4</v>
      </c>
      <c r="C16" s="120">
        <f t="shared" si="0"/>
        <v>21</v>
      </c>
      <c r="D16" s="126">
        <f t="shared" si="1"/>
        <v>2.9247910863509748E-2</v>
      </c>
      <c r="E16" s="132">
        <v>1</v>
      </c>
      <c r="F16" s="133">
        <f t="shared" si="2"/>
        <v>4.7619047619047616E-2</v>
      </c>
      <c r="G16" s="128">
        <v>0</v>
      </c>
      <c r="H16" s="136">
        <f t="shared" si="3"/>
        <v>0</v>
      </c>
      <c r="I16" s="132">
        <v>3</v>
      </c>
      <c r="J16" s="133">
        <f t="shared" si="4"/>
        <v>0.14285714285714285</v>
      </c>
      <c r="K16" s="128">
        <v>0</v>
      </c>
      <c r="L16" s="136">
        <f t="shared" si="5"/>
        <v>0</v>
      </c>
      <c r="M16" s="132">
        <v>2</v>
      </c>
      <c r="N16" s="133">
        <f t="shared" si="6"/>
        <v>9.5238095238095233E-2</v>
      </c>
      <c r="O16" s="127">
        <v>2</v>
      </c>
      <c r="P16" s="126">
        <f t="shared" si="7"/>
        <v>9.5238095238095233E-2</v>
      </c>
      <c r="Q16" s="132">
        <v>2</v>
      </c>
      <c r="R16" s="119">
        <f t="shared" si="8"/>
        <v>9.5238095238095233E-2</v>
      </c>
      <c r="S16" s="127">
        <f>5+3</f>
        <v>8</v>
      </c>
      <c r="T16" s="126">
        <f t="shared" si="9"/>
        <v>0.38095238095238093</v>
      </c>
      <c r="U16" s="131">
        <v>3</v>
      </c>
      <c r="V16" s="119">
        <f t="shared" si="10"/>
        <v>0.14285714285714285</v>
      </c>
      <c r="Y16" s="14">
        <v>718</v>
      </c>
    </row>
    <row r="17" spans="1:25" ht="36" customHeight="1" x14ac:dyDescent="0.2">
      <c r="A17" s="118">
        <f t="shared" si="11"/>
        <v>13</v>
      </c>
      <c r="B17" s="123" t="s">
        <v>8</v>
      </c>
      <c r="C17" s="120">
        <f t="shared" si="0"/>
        <v>21</v>
      </c>
      <c r="D17" s="126">
        <f t="shared" si="1"/>
        <v>2.9247910863509748E-2</v>
      </c>
      <c r="E17" s="132">
        <v>2</v>
      </c>
      <c r="F17" s="133">
        <f t="shared" si="2"/>
        <v>9.5238095238095233E-2</v>
      </c>
      <c r="G17" s="127">
        <v>1</v>
      </c>
      <c r="H17" s="136">
        <f t="shared" si="3"/>
        <v>4.7619047619047616E-2</v>
      </c>
      <c r="I17" s="132">
        <v>3</v>
      </c>
      <c r="J17" s="133">
        <f t="shared" si="4"/>
        <v>0.14285714285714285</v>
      </c>
      <c r="K17" s="127">
        <v>1</v>
      </c>
      <c r="L17" s="136">
        <f t="shared" si="5"/>
        <v>4.7619047619047616E-2</v>
      </c>
      <c r="M17" s="132">
        <v>3</v>
      </c>
      <c r="N17" s="133">
        <f t="shared" si="6"/>
        <v>0.14285714285714285</v>
      </c>
      <c r="O17" s="127">
        <v>1</v>
      </c>
      <c r="P17" s="126">
        <f t="shared" si="7"/>
        <v>4.7619047619047616E-2</v>
      </c>
      <c r="Q17" s="132">
        <v>1</v>
      </c>
      <c r="R17" s="119">
        <f t="shared" si="8"/>
        <v>4.7619047619047616E-2</v>
      </c>
      <c r="S17" s="127">
        <v>4</v>
      </c>
      <c r="T17" s="126">
        <f t="shared" si="9"/>
        <v>0.19047619047619047</v>
      </c>
      <c r="U17" s="131">
        <v>5</v>
      </c>
      <c r="V17" s="119">
        <f t="shared" si="10"/>
        <v>0.23809523809523808</v>
      </c>
      <c r="Y17" s="14">
        <v>718</v>
      </c>
    </row>
    <row r="18" spans="1:25" ht="36" customHeight="1" x14ac:dyDescent="0.2">
      <c r="A18" s="118">
        <f t="shared" si="11"/>
        <v>14</v>
      </c>
      <c r="B18" s="123" t="s">
        <v>6</v>
      </c>
      <c r="C18" s="120">
        <f t="shared" si="0"/>
        <v>18</v>
      </c>
      <c r="D18" s="126">
        <f t="shared" si="1"/>
        <v>2.5069637883008356E-2</v>
      </c>
      <c r="E18" s="132">
        <v>3</v>
      </c>
      <c r="F18" s="133">
        <f t="shared" si="2"/>
        <v>0.16666666666666666</v>
      </c>
      <c r="G18" s="127">
        <v>2</v>
      </c>
      <c r="H18" s="136">
        <f t="shared" si="3"/>
        <v>0.1111111111111111</v>
      </c>
      <c r="I18" s="132">
        <v>2</v>
      </c>
      <c r="J18" s="133">
        <f t="shared" si="4"/>
        <v>0.1111111111111111</v>
      </c>
      <c r="K18" s="127">
        <v>1</v>
      </c>
      <c r="L18" s="136">
        <f t="shared" si="5"/>
        <v>5.5555555555555552E-2</v>
      </c>
      <c r="M18" s="132">
        <v>2</v>
      </c>
      <c r="N18" s="133">
        <f t="shared" si="6"/>
        <v>0.1111111111111111</v>
      </c>
      <c r="O18" s="127">
        <v>1</v>
      </c>
      <c r="P18" s="126">
        <f t="shared" si="7"/>
        <v>5.5555555555555552E-2</v>
      </c>
      <c r="Q18" s="132">
        <v>1</v>
      </c>
      <c r="R18" s="119">
        <f t="shared" si="8"/>
        <v>5.5555555555555552E-2</v>
      </c>
      <c r="S18" s="127">
        <v>4</v>
      </c>
      <c r="T18" s="126">
        <f t="shared" si="9"/>
        <v>0.22222222222222221</v>
      </c>
      <c r="U18" s="131">
        <v>2</v>
      </c>
      <c r="V18" s="119">
        <f t="shared" si="10"/>
        <v>0.1111111111111111</v>
      </c>
      <c r="Y18" s="14">
        <v>718</v>
      </c>
    </row>
    <row r="19" spans="1:25" ht="36" customHeight="1" x14ac:dyDescent="0.2">
      <c r="A19" s="118">
        <f t="shared" si="11"/>
        <v>15</v>
      </c>
      <c r="B19" s="123" t="s">
        <v>11</v>
      </c>
      <c r="C19" s="120">
        <f t="shared" si="0"/>
        <v>16</v>
      </c>
      <c r="D19" s="126">
        <f t="shared" si="1"/>
        <v>2.2284122562674095E-2</v>
      </c>
      <c r="E19" s="132">
        <v>2</v>
      </c>
      <c r="F19" s="133">
        <f t="shared" si="2"/>
        <v>0.125</v>
      </c>
      <c r="G19" s="127">
        <v>1</v>
      </c>
      <c r="H19" s="136">
        <f t="shared" si="3"/>
        <v>6.25E-2</v>
      </c>
      <c r="I19" s="132">
        <v>1</v>
      </c>
      <c r="J19" s="133">
        <f t="shared" si="4"/>
        <v>6.25E-2</v>
      </c>
      <c r="K19" s="127">
        <v>3</v>
      </c>
      <c r="L19" s="136">
        <f t="shared" si="5"/>
        <v>0.1875</v>
      </c>
      <c r="M19" s="132">
        <v>4</v>
      </c>
      <c r="N19" s="133">
        <f t="shared" si="6"/>
        <v>0.25</v>
      </c>
      <c r="O19" s="127">
        <v>1</v>
      </c>
      <c r="P19" s="126">
        <f t="shared" si="7"/>
        <v>6.25E-2</v>
      </c>
      <c r="Q19" s="132">
        <v>1</v>
      </c>
      <c r="R19" s="119">
        <f t="shared" si="8"/>
        <v>6.25E-2</v>
      </c>
      <c r="S19" s="127">
        <v>3</v>
      </c>
      <c r="T19" s="126">
        <f t="shared" si="9"/>
        <v>0.1875</v>
      </c>
      <c r="U19" s="134">
        <v>0</v>
      </c>
      <c r="V19" s="119">
        <f t="shared" si="10"/>
        <v>0</v>
      </c>
      <c r="Y19" s="14">
        <v>718</v>
      </c>
    </row>
    <row r="20" spans="1:25" ht="36" customHeight="1" x14ac:dyDescent="0.2">
      <c r="A20" s="118">
        <f t="shared" si="11"/>
        <v>16</v>
      </c>
      <c r="B20" s="123" t="s">
        <v>3</v>
      </c>
      <c r="C20" s="120">
        <f t="shared" si="0"/>
        <v>13</v>
      </c>
      <c r="D20" s="126">
        <f t="shared" si="1"/>
        <v>1.8105849582172703E-2</v>
      </c>
      <c r="E20" s="132">
        <v>3</v>
      </c>
      <c r="F20" s="133">
        <f t="shared" si="2"/>
        <v>0.23076923076923078</v>
      </c>
      <c r="G20" s="127">
        <v>2</v>
      </c>
      <c r="H20" s="136">
        <f t="shared" si="3"/>
        <v>0.15384615384615385</v>
      </c>
      <c r="I20" s="132">
        <v>1</v>
      </c>
      <c r="J20" s="133">
        <f t="shared" si="4"/>
        <v>7.6923076923076927E-2</v>
      </c>
      <c r="K20" s="127">
        <v>2</v>
      </c>
      <c r="L20" s="136">
        <f t="shared" si="5"/>
        <v>0.15384615384615385</v>
      </c>
      <c r="M20" s="132">
        <v>2</v>
      </c>
      <c r="N20" s="133">
        <f t="shared" si="6"/>
        <v>0.15384615384615385</v>
      </c>
      <c r="O20" s="128">
        <v>0</v>
      </c>
      <c r="P20" s="126">
        <f t="shared" si="7"/>
        <v>0</v>
      </c>
      <c r="Q20" s="134">
        <v>0</v>
      </c>
      <c r="R20" s="119">
        <f t="shared" si="8"/>
        <v>0</v>
      </c>
      <c r="S20" s="127">
        <v>2</v>
      </c>
      <c r="T20" s="126">
        <f t="shared" si="9"/>
        <v>0.15384615384615385</v>
      </c>
      <c r="U20" s="131">
        <v>1</v>
      </c>
      <c r="V20" s="119">
        <f t="shared" si="10"/>
        <v>7.6923076923076927E-2</v>
      </c>
      <c r="Y20" s="14">
        <v>718</v>
      </c>
    </row>
    <row r="21" spans="1:25" ht="36" customHeight="1" x14ac:dyDescent="0.2">
      <c r="A21" s="118">
        <f t="shared" si="11"/>
        <v>17</v>
      </c>
      <c r="B21" s="123" t="s">
        <v>74</v>
      </c>
      <c r="C21" s="120">
        <f t="shared" si="0"/>
        <v>13</v>
      </c>
      <c r="D21" s="126">
        <f t="shared" si="1"/>
        <v>1.8105849582172703E-2</v>
      </c>
      <c r="E21" s="134">
        <v>0</v>
      </c>
      <c r="F21" s="133">
        <f t="shared" si="2"/>
        <v>0</v>
      </c>
      <c r="G21" s="128">
        <v>0</v>
      </c>
      <c r="H21" s="136">
        <f t="shared" si="3"/>
        <v>0</v>
      </c>
      <c r="I21" s="134">
        <v>0</v>
      </c>
      <c r="J21" s="133">
        <f t="shared" si="4"/>
        <v>0</v>
      </c>
      <c r="K21" s="128">
        <v>0</v>
      </c>
      <c r="L21" s="136">
        <f t="shared" si="5"/>
        <v>0</v>
      </c>
      <c r="M21" s="134">
        <v>0</v>
      </c>
      <c r="N21" s="133">
        <f t="shared" si="6"/>
        <v>0</v>
      </c>
      <c r="O21" s="127">
        <v>2</v>
      </c>
      <c r="P21" s="126">
        <f t="shared" si="7"/>
        <v>0.15384615384615385</v>
      </c>
      <c r="Q21" s="132">
        <v>4</v>
      </c>
      <c r="R21" s="119">
        <f t="shared" si="8"/>
        <v>0.30769230769230771</v>
      </c>
      <c r="S21" s="127">
        <v>6</v>
      </c>
      <c r="T21" s="126">
        <f t="shared" si="9"/>
        <v>0.46153846153846156</v>
      </c>
      <c r="U21" s="131">
        <v>1</v>
      </c>
      <c r="V21" s="119">
        <f t="shared" si="10"/>
        <v>7.6923076923076927E-2</v>
      </c>
      <c r="Y21" s="14">
        <v>718</v>
      </c>
    </row>
    <row r="22" spans="1:25" ht="36" customHeight="1" x14ac:dyDescent="0.2">
      <c r="A22" s="118">
        <f t="shared" si="11"/>
        <v>18</v>
      </c>
      <c r="B22" s="124" t="s">
        <v>27</v>
      </c>
      <c r="C22" s="120">
        <f t="shared" si="0"/>
        <v>11</v>
      </c>
      <c r="D22" s="126">
        <f t="shared" si="1"/>
        <v>1.532033426183844E-2</v>
      </c>
      <c r="E22" s="132">
        <v>1</v>
      </c>
      <c r="F22" s="133">
        <f t="shared" si="2"/>
        <v>9.0909090909090912E-2</v>
      </c>
      <c r="G22" s="127">
        <v>4</v>
      </c>
      <c r="H22" s="136">
        <f t="shared" si="3"/>
        <v>0.36363636363636365</v>
      </c>
      <c r="I22" s="132">
        <v>3</v>
      </c>
      <c r="J22" s="133">
        <f t="shared" si="4"/>
        <v>0.27272727272727271</v>
      </c>
      <c r="K22" s="128">
        <v>0</v>
      </c>
      <c r="L22" s="136">
        <f t="shared" si="5"/>
        <v>0</v>
      </c>
      <c r="M22" s="132">
        <v>1</v>
      </c>
      <c r="N22" s="133">
        <f t="shared" si="6"/>
        <v>9.0909090909090912E-2</v>
      </c>
      <c r="O22" s="128">
        <v>0</v>
      </c>
      <c r="P22" s="126">
        <f t="shared" si="7"/>
        <v>0</v>
      </c>
      <c r="Q22" s="132">
        <v>1</v>
      </c>
      <c r="R22" s="119">
        <f t="shared" si="8"/>
        <v>9.0909090909090912E-2</v>
      </c>
      <c r="S22" s="127">
        <v>1</v>
      </c>
      <c r="T22" s="126">
        <f t="shared" si="9"/>
        <v>9.0909090909090912E-2</v>
      </c>
      <c r="U22" s="134">
        <v>0</v>
      </c>
      <c r="V22" s="119">
        <f t="shared" si="10"/>
        <v>0</v>
      </c>
      <c r="Y22" s="14">
        <v>718</v>
      </c>
    </row>
    <row r="23" spans="1:25" ht="36" customHeight="1" x14ac:dyDescent="0.2">
      <c r="A23" s="118">
        <f t="shared" si="11"/>
        <v>19</v>
      </c>
      <c r="B23" s="123" t="s">
        <v>28</v>
      </c>
      <c r="C23" s="120">
        <f t="shared" si="0"/>
        <v>11</v>
      </c>
      <c r="D23" s="126">
        <f t="shared" si="1"/>
        <v>1.532033426183844E-2</v>
      </c>
      <c r="E23" s="132">
        <v>2</v>
      </c>
      <c r="F23" s="133">
        <f t="shared" si="2"/>
        <v>0.18181818181818182</v>
      </c>
      <c r="G23" s="127">
        <v>1</v>
      </c>
      <c r="H23" s="136">
        <f t="shared" si="3"/>
        <v>9.0909090909090912E-2</v>
      </c>
      <c r="I23" s="132">
        <v>1</v>
      </c>
      <c r="J23" s="133">
        <f t="shared" si="4"/>
        <v>9.0909090909090912E-2</v>
      </c>
      <c r="K23" s="127">
        <v>1</v>
      </c>
      <c r="L23" s="136">
        <f t="shared" si="5"/>
        <v>9.0909090909090912E-2</v>
      </c>
      <c r="M23" s="134">
        <v>0</v>
      </c>
      <c r="N23" s="133">
        <f t="shared" si="6"/>
        <v>0</v>
      </c>
      <c r="O23" s="128">
        <v>0</v>
      </c>
      <c r="P23" s="126">
        <f t="shared" si="7"/>
        <v>0</v>
      </c>
      <c r="Q23" s="134">
        <v>0</v>
      </c>
      <c r="R23" s="119">
        <f t="shared" si="8"/>
        <v>0</v>
      </c>
      <c r="S23" s="127">
        <v>3</v>
      </c>
      <c r="T23" s="126">
        <f t="shared" si="9"/>
        <v>0.27272727272727271</v>
      </c>
      <c r="U23" s="131">
        <v>3</v>
      </c>
      <c r="V23" s="119">
        <f t="shared" si="10"/>
        <v>0.27272727272727271</v>
      </c>
      <c r="Y23" s="14">
        <v>718</v>
      </c>
    </row>
    <row r="24" spans="1:25" ht="36" customHeight="1" x14ac:dyDescent="0.2">
      <c r="A24" s="118">
        <f t="shared" si="11"/>
        <v>20</v>
      </c>
      <c r="B24" s="123" t="s">
        <v>2</v>
      </c>
      <c r="C24" s="120">
        <f t="shared" si="0"/>
        <v>9</v>
      </c>
      <c r="D24" s="126">
        <f t="shared" si="1"/>
        <v>1.2534818941504178E-2</v>
      </c>
      <c r="E24" s="132">
        <v>2</v>
      </c>
      <c r="F24" s="133">
        <f t="shared" si="2"/>
        <v>0.22222222222222221</v>
      </c>
      <c r="G24" s="127">
        <v>1</v>
      </c>
      <c r="H24" s="136">
        <f t="shared" si="3"/>
        <v>0.1111111111111111</v>
      </c>
      <c r="I24" s="132">
        <v>2</v>
      </c>
      <c r="J24" s="133">
        <f t="shared" si="4"/>
        <v>0.22222222222222221</v>
      </c>
      <c r="K24" s="128">
        <v>0</v>
      </c>
      <c r="L24" s="136">
        <f t="shared" si="5"/>
        <v>0</v>
      </c>
      <c r="M24" s="132">
        <v>3</v>
      </c>
      <c r="N24" s="133">
        <f t="shared" si="6"/>
        <v>0.33333333333333331</v>
      </c>
      <c r="O24" s="128">
        <v>0</v>
      </c>
      <c r="P24" s="126">
        <f t="shared" si="7"/>
        <v>0</v>
      </c>
      <c r="Q24" s="134">
        <v>0</v>
      </c>
      <c r="R24" s="119">
        <f t="shared" si="8"/>
        <v>0</v>
      </c>
      <c r="S24" s="134">
        <v>0</v>
      </c>
      <c r="T24" s="126">
        <f t="shared" si="9"/>
        <v>0</v>
      </c>
      <c r="U24" s="131">
        <v>1</v>
      </c>
      <c r="V24" s="119">
        <f t="shared" si="10"/>
        <v>0.1111111111111111</v>
      </c>
      <c r="Y24" s="14">
        <v>718</v>
      </c>
    </row>
    <row r="25" spans="1:25" ht="36" customHeight="1" thickBot="1" x14ac:dyDescent="0.25">
      <c r="A25" s="118">
        <f t="shared" si="11"/>
        <v>21</v>
      </c>
      <c r="B25" s="125" t="s">
        <v>5</v>
      </c>
      <c r="C25" s="120">
        <f t="shared" si="0"/>
        <v>3</v>
      </c>
      <c r="D25" s="126">
        <f t="shared" si="1"/>
        <v>4.178272980501393E-3</v>
      </c>
      <c r="E25" s="134">
        <v>0</v>
      </c>
      <c r="F25" s="135">
        <v>0</v>
      </c>
      <c r="G25" s="128">
        <v>0</v>
      </c>
      <c r="H25" s="137">
        <v>0</v>
      </c>
      <c r="I25" s="134">
        <v>0</v>
      </c>
      <c r="J25" s="135">
        <v>0</v>
      </c>
      <c r="K25" s="128">
        <v>0</v>
      </c>
      <c r="L25" s="137">
        <v>0</v>
      </c>
      <c r="M25" s="134">
        <v>0</v>
      </c>
      <c r="N25" s="135">
        <v>0</v>
      </c>
      <c r="O25" s="128">
        <v>0</v>
      </c>
      <c r="P25" s="126">
        <v>0</v>
      </c>
      <c r="Q25" s="134">
        <v>0</v>
      </c>
      <c r="R25" s="119">
        <v>0</v>
      </c>
      <c r="S25" s="127">
        <v>3</v>
      </c>
      <c r="T25" s="126">
        <f t="shared" si="9"/>
        <v>1</v>
      </c>
      <c r="U25" s="131">
        <v>0</v>
      </c>
      <c r="V25" s="119">
        <f t="shared" si="10"/>
        <v>0</v>
      </c>
      <c r="Y25" s="14">
        <v>718</v>
      </c>
    </row>
    <row r="26" spans="1:25" s="4" customFormat="1" ht="42" customHeight="1" thickBot="1" x14ac:dyDescent="0.3">
      <c r="A26" s="217" t="s">
        <v>14</v>
      </c>
      <c r="B26" s="218"/>
      <c r="C26" s="57">
        <f>SUM(C5:C25)</f>
        <v>718</v>
      </c>
      <c r="D26" s="47">
        <f t="shared" si="1"/>
        <v>1</v>
      </c>
      <c r="E26" s="102">
        <f>SUM(E5:E25)</f>
        <v>43</v>
      </c>
      <c r="F26" s="46">
        <f>+E26/C26</f>
        <v>5.9888579387186627E-2</v>
      </c>
      <c r="G26" s="55">
        <f>SUM(G5:G25)</f>
        <v>62</v>
      </c>
      <c r="H26" s="47">
        <f>+G26/C26</f>
        <v>8.6350974930362118E-2</v>
      </c>
      <c r="I26" s="102">
        <f>SUM(I5:I25)</f>
        <v>86</v>
      </c>
      <c r="J26" s="46">
        <f>+I26/C26</f>
        <v>0.11977715877437325</v>
      </c>
      <c r="K26" s="55">
        <f>SUM(K5:K25)</f>
        <v>96</v>
      </c>
      <c r="L26" s="47">
        <f>+K26/C26</f>
        <v>0.13370473537604458</v>
      </c>
      <c r="M26" s="106">
        <f>SUM(M5:M25)</f>
        <v>103</v>
      </c>
      <c r="N26" s="46">
        <f>+M26/C26</f>
        <v>0.14345403899721448</v>
      </c>
      <c r="O26" s="57">
        <f>SUM(O5:O25)</f>
        <v>87</v>
      </c>
      <c r="P26" s="47">
        <f>+O26/C26</f>
        <v>0.12116991643454039</v>
      </c>
      <c r="Q26" s="106">
        <f>SUM(Q5:Q25)</f>
        <v>67</v>
      </c>
      <c r="R26" s="46">
        <f>+Q26/C26</f>
        <v>9.3314763231197778E-2</v>
      </c>
      <c r="S26" s="57">
        <f>SUM(S5:S25)</f>
        <v>112</v>
      </c>
      <c r="T26" s="47">
        <f t="shared" si="9"/>
        <v>0.15598885793871867</v>
      </c>
      <c r="U26" s="106">
        <f>SUM(U5:U25)</f>
        <v>62</v>
      </c>
      <c r="V26" s="46">
        <f t="shared" si="10"/>
        <v>8.6350974930362118E-2</v>
      </c>
      <c r="Y26" s="14">
        <v>718</v>
      </c>
    </row>
  </sheetData>
  <autoFilter ref="A4:AI4" xr:uid="{AD682FF0-E984-4BF3-9D91-C681B5FFB061}">
    <sortState xmlns:xlrd2="http://schemas.microsoft.com/office/spreadsheetml/2017/richdata2" ref="A6:AI25">
      <sortCondition descending="1" ref="C4"/>
    </sortState>
  </autoFilter>
  <mergeCells count="15">
    <mergeCell ref="U3:V3"/>
    <mergeCell ref="A26:B26"/>
    <mergeCell ref="A1:S1"/>
    <mergeCell ref="P2:R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ageMargins left="0" right="0" top="0.71" bottom="0" header="0" footer="0"/>
  <pageSetup paperSize="9" scale="51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1"/>
  <sheetViews>
    <sheetView view="pageBreakPreview" zoomScale="83" zoomScaleNormal="100" zoomScaleSheetLayoutView="83" workbookViewId="0">
      <pane xSplit="2" ySplit="5" topLeftCell="C18" activePane="bottomRight" state="frozen"/>
      <selection pane="topRight" activeCell="C1" sqref="C1"/>
      <selection pane="bottomLeft" activeCell="A5" sqref="A5"/>
      <selection pane="bottomRight" activeCell="T6" sqref="T6"/>
    </sheetView>
  </sheetViews>
  <sheetFormatPr defaultRowHeight="14.25" x14ac:dyDescent="0.2"/>
  <cols>
    <col min="1" max="1" width="4.28515625" style="1" customWidth="1"/>
    <col min="2" max="2" width="27.5703125" style="2" customWidth="1"/>
    <col min="3" max="4" width="16.140625" style="2" customWidth="1"/>
    <col min="5" max="5" width="15.85546875" style="2" hidden="1" customWidth="1"/>
    <col min="6" max="7" width="14.85546875" style="2" customWidth="1"/>
    <col min="8" max="9" width="12.42578125" style="2" customWidth="1"/>
    <col min="10" max="11" width="11.5703125" style="1" customWidth="1"/>
    <col min="12" max="15" width="12" style="1" customWidth="1"/>
    <col min="16" max="16" width="12" style="14" customWidth="1"/>
    <col min="17" max="17" width="16.140625" style="1" customWidth="1"/>
    <col min="18" max="18" width="13.140625" style="1" customWidth="1"/>
    <col min="19" max="16384" width="9.140625" style="1"/>
  </cols>
  <sheetData>
    <row r="1" spans="1:23" ht="59.25" customHeight="1" x14ac:dyDescent="0.2">
      <c r="A1" s="228" t="s">
        <v>106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23" s="14" customFormat="1" ht="20.25" customHeight="1" thickBo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208" t="s">
        <v>104</v>
      </c>
      <c r="Q2" s="208"/>
      <c r="R2" s="208"/>
    </row>
    <row r="3" spans="1:23" s="3" customFormat="1" ht="26.25" customHeight="1" thickBot="1" x14ac:dyDescent="0.3">
      <c r="A3" s="232" t="s">
        <v>0</v>
      </c>
      <c r="B3" s="219" t="s">
        <v>1</v>
      </c>
      <c r="C3" s="219" t="s">
        <v>36</v>
      </c>
      <c r="D3" s="219" t="s">
        <v>73</v>
      </c>
      <c r="E3" s="219"/>
      <c r="F3" s="219" t="s">
        <v>43</v>
      </c>
      <c r="G3" s="229" t="s">
        <v>38</v>
      </c>
      <c r="H3" s="194" t="s">
        <v>44</v>
      </c>
      <c r="I3" s="235"/>
      <c r="J3" s="235"/>
      <c r="K3" s="235"/>
      <c r="L3" s="235"/>
      <c r="M3" s="235"/>
      <c r="N3" s="235"/>
      <c r="O3" s="195"/>
      <c r="P3" s="226" t="s">
        <v>72</v>
      </c>
      <c r="Q3" s="224" t="s">
        <v>46</v>
      </c>
      <c r="R3" s="226" t="s">
        <v>38</v>
      </c>
    </row>
    <row r="4" spans="1:23" s="3" customFormat="1" ht="42.75" customHeight="1" thickBot="1" x14ac:dyDescent="0.3">
      <c r="A4" s="233"/>
      <c r="B4" s="220"/>
      <c r="C4" s="220"/>
      <c r="D4" s="220"/>
      <c r="E4" s="220"/>
      <c r="F4" s="220"/>
      <c r="G4" s="230"/>
      <c r="H4" s="225" t="s">
        <v>45</v>
      </c>
      <c r="I4" s="227"/>
      <c r="J4" s="225" t="s">
        <v>47</v>
      </c>
      <c r="K4" s="227"/>
      <c r="L4" s="225" t="s">
        <v>42</v>
      </c>
      <c r="M4" s="227"/>
      <c r="N4" s="196" t="s">
        <v>51</v>
      </c>
      <c r="O4" s="197"/>
      <c r="P4" s="227"/>
      <c r="Q4" s="225"/>
      <c r="R4" s="227"/>
    </row>
    <row r="5" spans="1:23" s="3" customFormat="1" ht="26.25" customHeight="1" thickBot="1" x14ac:dyDescent="0.3">
      <c r="A5" s="234"/>
      <c r="B5" s="221"/>
      <c r="C5" s="221"/>
      <c r="D5" s="221"/>
      <c r="E5" s="221"/>
      <c r="F5" s="221"/>
      <c r="G5" s="231"/>
      <c r="H5" s="37" t="s">
        <v>37</v>
      </c>
      <c r="I5" s="38" t="s">
        <v>38</v>
      </c>
      <c r="J5" s="37" t="s">
        <v>37</v>
      </c>
      <c r="K5" s="38" t="s">
        <v>38</v>
      </c>
      <c r="L5" s="37" t="s">
        <v>37</v>
      </c>
      <c r="M5" s="38" t="s">
        <v>38</v>
      </c>
      <c r="N5" s="37" t="s">
        <v>37</v>
      </c>
      <c r="O5" s="38" t="s">
        <v>38</v>
      </c>
      <c r="P5" s="236"/>
      <c r="Q5" s="225"/>
      <c r="R5" s="227"/>
    </row>
    <row r="6" spans="1:23" ht="30" customHeight="1" x14ac:dyDescent="0.2">
      <c r="A6" s="6">
        <f t="shared" ref="A6:A26" si="0">+A5+1</f>
        <v>1</v>
      </c>
      <c r="B6" s="7" t="s">
        <v>78</v>
      </c>
      <c r="C6" s="70">
        <f t="shared" ref="C6:C26" si="1">+F6+Q6</f>
        <v>134</v>
      </c>
      <c r="D6" s="13">
        <f t="shared" ref="D6:D26" si="2">+C6/E6</f>
        <v>0.18662952646239556</v>
      </c>
      <c r="E6" s="19">
        <v>718</v>
      </c>
      <c r="F6" s="19">
        <f t="shared" ref="F6:F26" si="3">+H6+J6+L6+N6</f>
        <v>133</v>
      </c>
      <c r="G6" s="13">
        <f t="shared" ref="G6:G26" si="4">+F6/C6</f>
        <v>0.9925373134328358</v>
      </c>
      <c r="H6" s="61">
        <v>14</v>
      </c>
      <c r="I6" s="62">
        <f t="shared" ref="I6:I25" si="5">+H6/C6</f>
        <v>0.1044776119402985</v>
      </c>
      <c r="J6" s="91">
        <f>((94+5)+4)+7</f>
        <v>110</v>
      </c>
      <c r="K6" s="92">
        <f t="shared" ref="K6:K26" si="6">+J6/C6</f>
        <v>0.82089552238805974</v>
      </c>
      <c r="L6" s="63">
        <v>9</v>
      </c>
      <c r="M6" s="64">
        <f t="shared" ref="M6:M25" si="7">+L6/C6</f>
        <v>6.7164179104477612E-2</v>
      </c>
      <c r="N6" s="67">
        <v>0</v>
      </c>
      <c r="O6" s="64">
        <f t="shared" ref="O6:O25" si="8">+N6/C6</f>
        <v>0</v>
      </c>
      <c r="P6" s="108">
        <v>1</v>
      </c>
      <c r="Q6" s="91">
        <v>1</v>
      </c>
      <c r="R6" s="92">
        <f t="shared" ref="R6:R25" si="9">+Q6/C6</f>
        <v>7.462686567164179E-3</v>
      </c>
      <c r="S6" s="1">
        <f>VLOOKUP(B6,'[2]Куриб чикиш натижаси'!$B$6:$F$26,5,0)</f>
        <v>0</v>
      </c>
      <c r="T6" s="1">
        <f>+VLOOKUP(B6,'[2]Куриб чикиш натижаси'!$B$6:$H$26,7,FALSE)</f>
        <v>7</v>
      </c>
      <c r="U6" s="1">
        <f>+VLOOKUP(B6,'[2]Куриб чикиш натижаси'!$B$6:$J$26,9,FALSE)</f>
        <v>0</v>
      </c>
      <c r="V6" s="1">
        <f>+VLOOKUP(B6,'[2]Куриб чикиш натижаси'!$B$6:$L$26,11,FALSE)</f>
        <v>0</v>
      </c>
      <c r="W6" s="1">
        <f>+VLOOKUP(B6,'[2]Куриб чикиш натижаси'!$B$6:$O$26,14,FALSE)</f>
        <v>1</v>
      </c>
    </row>
    <row r="7" spans="1:23" s="14" customFormat="1" ht="30" customHeight="1" x14ac:dyDescent="0.2">
      <c r="A7" s="6">
        <f t="shared" si="0"/>
        <v>2</v>
      </c>
      <c r="B7" s="7" t="s">
        <v>79</v>
      </c>
      <c r="C7" s="70">
        <f t="shared" si="1"/>
        <v>104</v>
      </c>
      <c r="D7" s="13">
        <f t="shared" si="2"/>
        <v>0.14484679665738162</v>
      </c>
      <c r="E7" s="19">
        <f t="shared" ref="E7:E27" si="10">+E6</f>
        <v>718</v>
      </c>
      <c r="F7" s="19">
        <f t="shared" si="3"/>
        <v>102</v>
      </c>
      <c r="G7" s="13">
        <f t="shared" si="4"/>
        <v>0.98076923076923073</v>
      </c>
      <c r="H7" s="61">
        <v>12</v>
      </c>
      <c r="I7" s="62">
        <f t="shared" si="5"/>
        <v>0.11538461538461539</v>
      </c>
      <c r="J7" s="63">
        <f>((66+1)+2)+4</f>
        <v>73</v>
      </c>
      <c r="K7" s="64">
        <f t="shared" si="6"/>
        <v>0.70192307692307687</v>
      </c>
      <c r="L7" s="63">
        <v>16</v>
      </c>
      <c r="M7" s="64">
        <f t="shared" si="7"/>
        <v>0.15384615384615385</v>
      </c>
      <c r="N7" s="63">
        <v>1</v>
      </c>
      <c r="O7" s="64">
        <f t="shared" si="8"/>
        <v>9.6153846153846159E-3</v>
      </c>
      <c r="P7" s="109">
        <v>0</v>
      </c>
      <c r="Q7" s="115">
        <v>2</v>
      </c>
      <c r="R7" s="66">
        <f t="shared" si="9"/>
        <v>1.9230769230769232E-2</v>
      </c>
      <c r="S7" s="14">
        <f>+VLOOKUP(B7,'[2]Куриб чикиш натижаси'!$B$6:$F$26,5,FALSE)</f>
        <v>0</v>
      </c>
      <c r="T7" s="14">
        <f>+VLOOKUP(B7,'[2]Куриб чикиш натижаси'!$B$6:$H$26,7,FALSE)</f>
        <v>4</v>
      </c>
      <c r="U7" s="14">
        <f>+VLOOKUP(B7,'[2]Куриб чикиш натижаси'!$B$6:$J$26,9,FALSE)</f>
        <v>1</v>
      </c>
      <c r="V7" s="14">
        <f>+VLOOKUP(B7,'[2]Куриб чикиш натижаси'!$B$6:$L$26,11,FALSE)</f>
        <v>0</v>
      </c>
      <c r="W7" s="14">
        <f>+VLOOKUP(B7,'[2]Куриб чикиш натижаси'!$B$6:$O$26,14,FALSE)</f>
        <v>2</v>
      </c>
    </row>
    <row r="8" spans="1:23" ht="30" customHeight="1" x14ac:dyDescent="0.2">
      <c r="A8" s="6">
        <f t="shared" si="0"/>
        <v>3</v>
      </c>
      <c r="B8" s="9" t="s">
        <v>80</v>
      </c>
      <c r="C8" s="32">
        <f t="shared" si="1"/>
        <v>58</v>
      </c>
      <c r="D8" s="13">
        <f t="shared" si="2"/>
        <v>8.0779944289693595E-2</v>
      </c>
      <c r="E8" s="19">
        <f t="shared" si="10"/>
        <v>718</v>
      </c>
      <c r="F8" s="19">
        <f t="shared" si="3"/>
        <v>57</v>
      </c>
      <c r="G8" s="13">
        <f t="shared" si="4"/>
        <v>0.98275862068965514</v>
      </c>
      <c r="H8" s="61">
        <v>7</v>
      </c>
      <c r="I8" s="65">
        <f t="shared" si="5"/>
        <v>0.1206896551724138</v>
      </c>
      <c r="J8" s="63">
        <v>36</v>
      </c>
      <c r="K8" s="66">
        <f t="shared" si="6"/>
        <v>0.62068965517241381</v>
      </c>
      <c r="L8" s="63">
        <v>14</v>
      </c>
      <c r="M8" s="66">
        <f t="shared" si="7"/>
        <v>0.2413793103448276</v>
      </c>
      <c r="N8" s="67">
        <v>0</v>
      </c>
      <c r="O8" s="64">
        <f t="shared" si="8"/>
        <v>0</v>
      </c>
      <c r="P8" s="109">
        <v>0</v>
      </c>
      <c r="Q8" s="115">
        <v>1</v>
      </c>
      <c r="R8" s="66">
        <f t="shared" si="9"/>
        <v>1.7241379310344827E-2</v>
      </c>
      <c r="S8" s="14">
        <f>+VLOOKUP(B8,'[2]Куриб чикиш натижаси'!$B$6:$F$26,5,FALSE)</f>
        <v>3</v>
      </c>
      <c r="T8" s="14">
        <f>+VLOOKUP(B8,'[2]Куриб чикиш натижаси'!$B$6:$H$26,7,FALSE)</f>
        <v>0</v>
      </c>
      <c r="U8" s="14">
        <f>+VLOOKUP(B8,'[2]Куриб чикиш натижаси'!$B$6:$J$26,9,FALSE)</f>
        <v>1</v>
      </c>
      <c r="V8" s="14">
        <f>+VLOOKUP(B8,'[2]Куриб чикиш натижаси'!$B$6:$L$26,11,FALSE)</f>
        <v>0</v>
      </c>
      <c r="W8" s="14">
        <f>+VLOOKUP(B8,'[2]Куриб чикиш натижаси'!$B$6:$O$26,14,FALSE)</f>
        <v>1</v>
      </c>
    </row>
    <row r="9" spans="1:23" ht="30" customHeight="1" x14ac:dyDescent="0.2">
      <c r="A9" s="6">
        <f t="shared" si="0"/>
        <v>4</v>
      </c>
      <c r="B9" s="9" t="s">
        <v>81</v>
      </c>
      <c r="C9" s="32">
        <f t="shared" si="1"/>
        <v>50</v>
      </c>
      <c r="D9" s="13">
        <f t="shared" si="2"/>
        <v>6.9637883008356549E-2</v>
      </c>
      <c r="E9" s="19">
        <f t="shared" si="10"/>
        <v>718</v>
      </c>
      <c r="F9" s="19">
        <f t="shared" si="3"/>
        <v>49</v>
      </c>
      <c r="G9" s="13">
        <f t="shared" si="4"/>
        <v>0.98</v>
      </c>
      <c r="H9" s="61">
        <v>9</v>
      </c>
      <c r="I9" s="65">
        <f t="shared" si="5"/>
        <v>0.18</v>
      </c>
      <c r="J9" s="63">
        <f>((34+1)+0)+1</f>
        <v>36</v>
      </c>
      <c r="K9" s="66">
        <f t="shared" si="6"/>
        <v>0.72</v>
      </c>
      <c r="L9" s="63">
        <v>4</v>
      </c>
      <c r="M9" s="66">
        <f t="shared" si="7"/>
        <v>0.08</v>
      </c>
      <c r="N9" s="67">
        <v>0</v>
      </c>
      <c r="O9" s="64">
        <f t="shared" si="8"/>
        <v>0</v>
      </c>
      <c r="P9" s="109">
        <v>0</v>
      </c>
      <c r="Q9" s="115">
        <v>1</v>
      </c>
      <c r="R9" s="66">
        <f t="shared" si="9"/>
        <v>0.02</v>
      </c>
      <c r="S9" s="14">
        <f>+VLOOKUP(B9,'[2]Куриб чикиш натижаси'!$B$6:$F$26,5,FALSE)</f>
        <v>0</v>
      </c>
      <c r="T9" s="14">
        <f>+VLOOKUP(B9,'[2]Куриб чикиш натижаси'!$B$6:$H$26,7,FALSE)</f>
        <v>1</v>
      </c>
      <c r="U9" s="14">
        <f>+VLOOKUP(B9,'[2]Куриб чикиш натижаси'!$B$6:$J$26,9,FALSE)</f>
        <v>0</v>
      </c>
      <c r="V9" s="14">
        <f>+VLOOKUP(B9,'[2]Куриб чикиш натижаси'!$B$6:$L$26,11,FALSE)</f>
        <v>0</v>
      </c>
      <c r="W9" s="14">
        <f>+VLOOKUP(B9,'[2]Куриб чикиш натижаси'!$B$6:$O$26,14,FALSE)</f>
        <v>1</v>
      </c>
    </row>
    <row r="10" spans="1:23" ht="30" customHeight="1" x14ac:dyDescent="0.2">
      <c r="A10" s="6">
        <f t="shared" si="0"/>
        <v>5</v>
      </c>
      <c r="B10" s="9" t="s">
        <v>82</v>
      </c>
      <c r="C10" s="32">
        <f t="shared" si="1"/>
        <v>44</v>
      </c>
      <c r="D10" s="13">
        <f t="shared" si="2"/>
        <v>6.1281337047353758E-2</v>
      </c>
      <c r="E10" s="19">
        <f t="shared" si="10"/>
        <v>718</v>
      </c>
      <c r="F10" s="19">
        <f t="shared" si="3"/>
        <v>43</v>
      </c>
      <c r="G10" s="13">
        <f t="shared" si="4"/>
        <v>0.97727272727272729</v>
      </c>
      <c r="H10" s="61">
        <v>7</v>
      </c>
      <c r="I10" s="65">
        <f t="shared" si="5"/>
        <v>0.15909090909090909</v>
      </c>
      <c r="J10" s="63">
        <f>((29+2)+0)+1</f>
        <v>32</v>
      </c>
      <c r="K10" s="66">
        <f t="shared" si="6"/>
        <v>0.72727272727272729</v>
      </c>
      <c r="L10" s="63">
        <v>3</v>
      </c>
      <c r="M10" s="66">
        <f t="shared" si="7"/>
        <v>6.8181818181818177E-2</v>
      </c>
      <c r="N10" s="63">
        <v>1</v>
      </c>
      <c r="O10" s="64">
        <f t="shared" si="8"/>
        <v>2.2727272727272728E-2</v>
      </c>
      <c r="P10" s="109">
        <v>0</v>
      </c>
      <c r="Q10" s="115">
        <v>1</v>
      </c>
      <c r="R10" s="66">
        <f t="shared" si="9"/>
        <v>2.2727272727272728E-2</v>
      </c>
      <c r="S10" s="14">
        <f>+VLOOKUP(B10,'[2]Куриб чикиш натижаси'!$B$6:$F$26,5,FALSE)</f>
        <v>1</v>
      </c>
      <c r="T10" s="14">
        <f>+VLOOKUP(B10,'[2]Куриб чикиш натижаси'!$B$6:$H$26,7,FALSE)</f>
        <v>1</v>
      </c>
      <c r="U10" s="14">
        <f>+VLOOKUP(B10,'[2]Куриб чикиш натижаси'!$B$6:$J$26,9,FALSE)</f>
        <v>0</v>
      </c>
      <c r="V10" s="14">
        <f>+VLOOKUP(B10,'[2]Куриб чикиш натижаси'!$B$6:$L$26,11,FALSE)</f>
        <v>1</v>
      </c>
      <c r="W10" s="14">
        <f>+VLOOKUP(B10,'[2]Куриб чикиш натижаси'!$B$6:$O$26,14,FALSE)</f>
        <v>1</v>
      </c>
    </row>
    <row r="11" spans="1:23" ht="30" customHeight="1" x14ac:dyDescent="0.2">
      <c r="A11" s="6">
        <f t="shared" si="0"/>
        <v>6</v>
      </c>
      <c r="B11" s="9" t="s">
        <v>83</v>
      </c>
      <c r="C11" s="32">
        <f t="shared" si="1"/>
        <v>41</v>
      </c>
      <c r="D11" s="13">
        <f t="shared" si="2"/>
        <v>5.7103064066852366E-2</v>
      </c>
      <c r="E11" s="19">
        <f t="shared" si="10"/>
        <v>718</v>
      </c>
      <c r="F11" s="19">
        <f t="shared" si="3"/>
        <v>40</v>
      </c>
      <c r="G11" s="13">
        <f t="shared" si="4"/>
        <v>0.97560975609756095</v>
      </c>
      <c r="H11" s="61">
        <v>4</v>
      </c>
      <c r="I11" s="65">
        <f t="shared" si="5"/>
        <v>9.7560975609756101E-2</v>
      </c>
      <c r="J11" s="63">
        <f>((24+2)+0)+4</f>
        <v>30</v>
      </c>
      <c r="K11" s="66">
        <f t="shared" si="6"/>
        <v>0.73170731707317072</v>
      </c>
      <c r="L11" s="63">
        <v>5</v>
      </c>
      <c r="M11" s="66">
        <f t="shared" si="7"/>
        <v>0.12195121951219512</v>
      </c>
      <c r="N11" s="63">
        <v>1</v>
      </c>
      <c r="O11" s="64">
        <f t="shared" si="8"/>
        <v>2.4390243902439025E-2</v>
      </c>
      <c r="P11" s="109">
        <v>0</v>
      </c>
      <c r="Q11" s="115">
        <v>1</v>
      </c>
      <c r="R11" s="66">
        <f t="shared" si="9"/>
        <v>2.4390243902439025E-2</v>
      </c>
      <c r="S11" s="14">
        <f>+VLOOKUP(B11,'[2]Куриб чикиш натижаси'!$B$6:$F$26,5,FALSE)</f>
        <v>0</v>
      </c>
      <c r="T11" s="14">
        <f>+VLOOKUP(B11,'[2]Куриб чикиш натижаси'!$B$6:$H$26,7,FALSE)</f>
        <v>4</v>
      </c>
      <c r="U11" s="14">
        <f>+VLOOKUP(B11,'[2]Куриб чикиш натижаси'!$B$6:$J$26,9,FALSE)</f>
        <v>0</v>
      </c>
      <c r="V11" s="14">
        <f>+VLOOKUP(B11,'[2]Куриб чикиш натижаси'!$B$6:$L$26,11,FALSE)</f>
        <v>0</v>
      </c>
      <c r="W11" s="14">
        <f>+VLOOKUP(B11,'[2]Куриб чикиш натижаси'!$B$6:$O$26,14,FALSE)</f>
        <v>1</v>
      </c>
    </row>
    <row r="12" spans="1:23" ht="30" customHeight="1" x14ac:dyDescent="0.2">
      <c r="A12" s="6">
        <f t="shared" si="0"/>
        <v>7</v>
      </c>
      <c r="B12" s="9" t="s">
        <v>29</v>
      </c>
      <c r="C12" s="17">
        <f t="shared" si="1"/>
        <v>41</v>
      </c>
      <c r="D12" s="13">
        <f t="shared" si="2"/>
        <v>5.7103064066852366E-2</v>
      </c>
      <c r="E12" s="19">
        <f t="shared" si="10"/>
        <v>718</v>
      </c>
      <c r="F12" s="19">
        <f t="shared" si="3"/>
        <v>41</v>
      </c>
      <c r="G12" s="13">
        <f t="shared" si="4"/>
        <v>1</v>
      </c>
      <c r="H12" s="61">
        <v>2</v>
      </c>
      <c r="I12" s="65">
        <f t="shared" si="5"/>
        <v>4.878048780487805E-2</v>
      </c>
      <c r="J12" s="63">
        <f>((30+1)+1)+4</f>
        <v>36</v>
      </c>
      <c r="K12" s="66">
        <f t="shared" si="6"/>
        <v>0.87804878048780488</v>
      </c>
      <c r="L12" s="63">
        <v>3</v>
      </c>
      <c r="M12" s="66">
        <f t="shared" si="7"/>
        <v>7.3170731707317069E-2</v>
      </c>
      <c r="N12" s="93">
        <v>0</v>
      </c>
      <c r="O12" s="64">
        <f t="shared" si="8"/>
        <v>0</v>
      </c>
      <c r="P12" s="109">
        <v>0</v>
      </c>
      <c r="Q12" s="116">
        <v>0</v>
      </c>
      <c r="R12" s="66">
        <f t="shared" si="9"/>
        <v>0</v>
      </c>
      <c r="S12" s="14">
        <f>+VLOOKUP(B12,'[2]Куриб чикиш натижаси'!$B$6:$F$26,5,FALSE)</f>
        <v>1</v>
      </c>
      <c r="T12" s="14">
        <f>+VLOOKUP(B12,'[2]Куриб чикиш натижаси'!$B$6:$H$26,7,FALSE)</f>
        <v>4</v>
      </c>
      <c r="U12" s="14">
        <f>+VLOOKUP(B12,'[2]Куриб чикиш натижаси'!$B$6:$J$26,9,FALSE)</f>
        <v>2</v>
      </c>
      <c r="V12" s="14">
        <f>+VLOOKUP(B12,'[2]Куриб чикиш натижаси'!$B$6:$L$26,11,FALSE)</f>
        <v>0</v>
      </c>
      <c r="W12" s="14">
        <f>+VLOOKUP(B12,'[2]Куриб чикиш натижаси'!$B$6:$O$26,14,FALSE)</f>
        <v>0</v>
      </c>
    </row>
    <row r="13" spans="1:23" ht="30" customHeight="1" x14ac:dyDescent="0.2">
      <c r="A13" s="6">
        <f t="shared" si="0"/>
        <v>8</v>
      </c>
      <c r="B13" s="9" t="s">
        <v>7</v>
      </c>
      <c r="C13" s="32">
        <f t="shared" si="1"/>
        <v>32</v>
      </c>
      <c r="D13" s="13">
        <f t="shared" si="2"/>
        <v>4.456824512534819E-2</v>
      </c>
      <c r="E13" s="19">
        <f t="shared" si="10"/>
        <v>718</v>
      </c>
      <c r="F13" s="19">
        <f t="shared" si="3"/>
        <v>32</v>
      </c>
      <c r="G13" s="13">
        <f t="shared" si="4"/>
        <v>1</v>
      </c>
      <c r="H13" s="61">
        <v>4</v>
      </c>
      <c r="I13" s="65">
        <f t="shared" si="5"/>
        <v>0.125</v>
      </c>
      <c r="J13" s="63">
        <v>22</v>
      </c>
      <c r="K13" s="66">
        <f t="shared" si="6"/>
        <v>0.6875</v>
      </c>
      <c r="L13" s="63">
        <v>2</v>
      </c>
      <c r="M13" s="66">
        <f t="shared" si="7"/>
        <v>6.25E-2</v>
      </c>
      <c r="N13" s="95">
        <v>4</v>
      </c>
      <c r="O13" s="64">
        <f t="shared" si="8"/>
        <v>0.125</v>
      </c>
      <c r="P13" s="109">
        <v>0</v>
      </c>
      <c r="Q13" s="116">
        <v>0</v>
      </c>
      <c r="R13" s="66">
        <f t="shared" si="9"/>
        <v>0</v>
      </c>
      <c r="S13" s="14">
        <f>+VLOOKUP(B13,'[2]Куриб чикиш натижаси'!$B$6:$F$26,5,FALSE)</f>
        <v>0</v>
      </c>
      <c r="T13" s="14">
        <f>+VLOOKUP(B13,'[2]Куриб чикиш натижаси'!$B$6:$H$26,7,FALSE)</f>
        <v>1</v>
      </c>
      <c r="U13" s="14">
        <f>+VLOOKUP(B13,'[2]Куриб чикиш натижаси'!$B$6:$J$26,9,FALSE)</f>
        <v>0</v>
      </c>
      <c r="V13" s="14">
        <f>+VLOOKUP(B13,'[2]Куриб чикиш натижаси'!$B$6:$L$26,11,FALSE)</f>
        <v>0</v>
      </c>
      <c r="W13" s="14">
        <f>+VLOOKUP(B13,'[2]Куриб чикиш натижаси'!$B$6:$O$26,14,FALSE)</f>
        <v>0</v>
      </c>
    </row>
    <row r="14" spans="1:23" ht="30" customHeight="1" x14ac:dyDescent="0.2">
      <c r="A14" s="6">
        <f t="shared" si="0"/>
        <v>9</v>
      </c>
      <c r="B14" s="9" t="s">
        <v>84</v>
      </c>
      <c r="C14" s="32">
        <f t="shared" si="1"/>
        <v>31</v>
      </c>
      <c r="D14" s="13">
        <f t="shared" si="2"/>
        <v>4.3175487465181059E-2</v>
      </c>
      <c r="E14" s="19">
        <f t="shared" si="10"/>
        <v>718</v>
      </c>
      <c r="F14" s="19">
        <f t="shared" si="3"/>
        <v>31</v>
      </c>
      <c r="G14" s="13">
        <f t="shared" si="4"/>
        <v>1</v>
      </c>
      <c r="H14" s="61">
        <v>4</v>
      </c>
      <c r="I14" s="65">
        <f t="shared" si="5"/>
        <v>0.12903225806451613</v>
      </c>
      <c r="J14" s="63">
        <v>26</v>
      </c>
      <c r="K14" s="66">
        <f t="shared" si="6"/>
        <v>0.83870967741935487</v>
      </c>
      <c r="L14" s="95">
        <v>1</v>
      </c>
      <c r="M14" s="66">
        <f t="shared" si="7"/>
        <v>3.2258064516129031E-2</v>
      </c>
      <c r="N14" s="67">
        <v>0</v>
      </c>
      <c r="O14" s="64">
        <f t="shared" si="8"/>
        <v>0</v>
      </c>
      <c r="P14" s="109">
        <v>0</v>
      </c>
      <c r="Q14" s="116">
        <v>0</v>
      </c>
      <c r="R14" s="66">
        <f t="shared" si="9"/>
        <v>0</v>
      </c>
      <c r="S14" s="14">
        <f>+VLOOKUP(B14,'[2]Куриб чикиш натижаси'!$B$6:$F$26,5,FALSE)</f>
        <v>2</v>
      </c>
      <c r="T14" s="14">
        <f>+VLOOKUP(B14,'[2]Куриб чикиш натижаси'!$B$6:$H$26,7,FALSE)</f>
        <v>0</v>
      </c>
      <c r="U14" s="14">
        <f>+VLOOKUP(B14,'[2]Куриб чикиш натижаси'!$B$6:$J$26,9,FALSE)</f>
        <v>0</v>
      </c>
      <c r="V14" s="14">
        <f>+VLOOKUP(B14,'[2]Куриб чикиш натижаси'!$B$6:$L$26,11,FALSE)</f>
        <v>0</v>
      </c>
      <c r="W14" s="14">
        <f>+VLOOKUP(B14,'[2]Куриб чикиш натижаси'!$B$6:$O$26,14,FALSE)</f>
        <v>0</v>
      </c>
    </row>
    <row r="15" spans="1:23" ht="30" customHeight="1" x14ac:dyDescent="0.2">
      <c r="A15" s="6">
        <f t="shared" si="0"/>
        <v>10</v>
      </c>
      <c r="B15" s="9" t="s">
        <v>86</v>
      </c>
      <c r="C15" s="17">
        <f t="shared" si="1"/>
        <v>25</v>
      </c>
      <c r="D15" s="13">
        <f t="shared" si="2"/>
        <v>3.4818941504178275E-2</v>
      </c>
      <c r="E15" s="19">
        <f t="shared" si="10"/>
        <v>718</v>
      </c>
      <c r="F15" s="19">
        <f t="shared" si="3"/>
        <v>25</v>
      </c>
      <c r="G15" s="13">
        <f t="shared" si="4"/>
        <v>1</v>
      </c>
      <c r="H15" s="61">
        <v>2</v>
      </c>
      <c r="I15" s="65">
        <f t="shared" si="5"/>
        <v>0.08</v>
      </c>
      <c r="J15" s="63">
        <v>19</v>
      </c>
      <c r="K15" s="66">
        <f t="shared" si="6"/>
        <v>0.76</v>
      </c>
      <c r="L15" s="95">
        <v>3</v>
      </c>
      <c r="M15" s="66">
        <f t="shared" si="7"/>
        <v>0.12</v>
      </c>
      <c r="N15" s="95">
        <v>1</v>
      </c>
      <c r="O15" s="64">
        <f t="shared" si="8"/>
        <v>0.04</v>
      </c>
      <c r="P15" s="109">
        <v>0</v>
      </c>
      <c r="Q15" s="116">
        <v>0</v>
      </c>
      <c r="R15" s="66">
        <f t="shared" si="9"/>
        <v>0</v>
      </c>
      <c r="S15" s="14">
        <f>+VLOOKUP(B15,'[2]Куриб чикиш натижаси'!$B$6:$F$26,5,FALSE)</f>
        <v>0</v>
      </c>
      <c r="T15" s="14">
        <f>+VLOOKUP(B15,'[2]Куриб чикиш натижаси'!$B$6:$H$26,7,FALSE)</f>
        <v>3</v>
      </c>
      <c r="U15" s="14">
        <f>+VLOOKUP(B15,'[2]Куриб чикиш натижаси'!$B$6:$J$26,9,FALSE)</f>
        <v>0</v>
      </c>
      <c r="V15" s="14">
        <f>+VLOOKUP(B15,'[2]Куриб чикиш натижаси'!$B$6:$L$26,11,FALSE)</f>
        <v>0</v>
      </c>
      <c r="W15" s="14">
        <f>+VLOOKUP(B15,'[2]Куриб чикиш натижаси'!$B$6:$O$26,14,FALSE)</f>
        <v>0</v>
      </c>
    </row>
    <row r="16" spans="1:23" ht="30" customHeight="1" x14ac:dyDescent="0.2">
      <c r="A16" s="6">
        <f t="shared" si="0"/>
        <v>11</v>
      </c>
      <c r="B16" s="9" t="s">
        <v>85</v>
      </c>
      <c r="C16" s="17">
        <f t="shared" si="1"/>
        <v>22</v>
      </c>
      <c r="D16" s="13">
        <f t="shared" si="2"/>
        <v>3.0640668523676879E-2</v>
      </c>
      <c r="E16" s="19">
        <f t="shared" si="10"/>
        <v>718</v>
      </c>
      <c r="F16" s="19">
        <f t="shared" si="3"/>
        <v>22</v>
      </c>
      <c r="G16" s="13">
        <f t="shared" si="4"/>
        <v>1</v>
      </c>
      <c r="H16" s="61">
        <v>4</v>
      </c>
      <c r="I16" s="65">
        <f t="shared" si="5"/>
        <v>0.18181818181818182</v>
      </c>
      <c r="J16" s="63">
        <v>17</v>
      </c>
      <c r="K16" s="66">
        <f t="shared" si="6"/>
        <v>0.77272727272727271</v>
      </c>
      <c r="L16" s="93">
        <v>1</v>
      </c>
      <c r="M16" s="66">
        <f t="shared" si="7"/>
        <v>4.5454545454545456E-2</v>
      </c>
      <c r="N16" s="93">
        <v>0</v>
      </c>
      <c r="O16" s="64">
        <f t="shared" si="8"/>
        <v>0</v>
      </c>
      <c r="P16" s="109">
        <v>0</v>
      </c>
      <c r="Q16" s="116">
        <v>0</v>
      </c>
      <c r="R16" s="66">
        <f t="shared" si="9"/>
        <v>0</v>
      </c>
      <c r="S16" s="14">
        <f>+VLOOKUP(B16,'[2]Куриб чикиш натижаси'!$B$6:$F$26,5,FALSE)</f>
        <v>0</v>
      </c>
      <c r="T16" s="14">
        <f>+VLOOKUP(B16,'[2]Куриб чикиш натижаси'!$B$6:$H$26,7,FALSE)</f>
        <v>1</v>
      </c>
      <c r="U16" s="14">
        <f>+VLOOKUP(B16,'[2]Куриб чикиш натижаси'!$B$6:$J$26,9,FALSE)</f>
        <v>1</v>
      </c>
      <c r="V16" s="14">
        <f>+VLOOKUP(B16,'[2]Куриб чикиш натижаси'!$B$6:$L$26,11,FALSE)</f>
        <v>0</v>
      </c>
      <c r="W16" s="14">
        <f>+VLOOKUP(B16,'[2]Куриб чикиш натижаси'!$B$6:$O$26,14,FALSE)</f>
        <v>0</v>
      </c>
    </row>
    <row r="17" spans="1:23" ht="30" customHeight="1" x14ac:dyDescent="0.2">
      <c r="A17" s="6">
        <f t="shared" si="0"/>
        <v>12</v>
      </c>
      <c r="B17" s="9" t="s">
        <v>92</v>
      </c>
      <c r="C17" s="17">
        <f t="shared" si="1"/>
        <v>21</v>
      </c>
      <c r="D17" s="13">
        <f t="shared" si="2"/>
        <v>2.9247910863509748E-2</v>
      </c>
      <c r="E17" s="19">
        <f t="shared" si="10"/>
        <v>718</v>
      </c>
      <c r="F17" s="19">
        <f t="shared" si="3"/>
        <v>20</v>
      </c>
      <c r="G17" s="13">
        <f t="shared" si="4"/>
        <v>0.95238095238095233</v>
      </c>
      <c r="H17" s="93">
        <v>0</v>
      </c>
      <c r="I17" s="65">
        <f t="shared" si="5"/>
        <v>0</v>
      </c>
      <c r="J17" s="63">
        <v>14</v>
      </c>
      <c r="K17" s="66">
        <f t="shared" si="6"/>
        <v>0.66666666666666663</v>
      </c>
      <c r="L17" s="63">
        <v>6</v>
      </c>
      <c r="M17" s="66">
        <f t="shared" si="7"/>
        <v>0.2857142857142857</v>
      </c>
      <c r="N17" s="67">
        <v>0</v>
      </c>
      <c r="O17" s="64">
        <f t="shared" si="8"/>
        <v>0</v>
      </c>
      <c r="P17" s="110">
        <v>1</v>
      </c>
      <c r="Q17" s="115">
        <v>1</v>
      </c>
      <c r="R17" s="66">
        <f t="shared" si="9"/>
        <v>4.7619047619047616E-2</v>
      </c>
      <c r="S17" s="14">
        <f>+VLOOKUP(B17,'[2]Куриб чикиш натижаси'!$B$6:$F$26,5,FALSE)</f>
        <v>0</v>
      </c>
      <c r="T17" s="14">
        <f>+VLOOKUP(B17,'[2]Куриб чикиш натижаси'!$B$6:$H$26,7,FALSE)</f>
        <v>1</v>
      </c>
      <c r="U17" s="14">
        <f>+VLOOKUP(B17,'[2]Куриб чикиш натижаси'!$B$6:$J$26,9,FALSE)</f>
        <v>1</v>
      </c>
      <c r="V17" s="14">
        <f>+VLOOKUP(B17,'[2]Куриб чикиш натижаси'!$B$6:$L$26,11,FALSE)</f>
        <v>0</v>
      </c>
      <c r="W17" s="14">
        <f>+VLOOKUP(B17,'[2]Куриб чикиш натижаси'!$B$6:$O$26,14,FALSE)</f>
        <v>1</v>
      </c>
    </row>
    <row r="18" spans="1:23" ht="30" customHeight="1" x14ac:dyDescent="0.2">
      <c r="A18" s="6">
        <f t="shared" si="0"/>
        <v>13</v>
      </c>
      <c r="B18" s="9" t="s">
        <v>89</v>
      </c>
      <c r="C18" s="17">
        <f t="shared" si="1"/>
        <v>21</v>
      </c>
      <c r="D18" s="13">
        <f t="shared" si="2"/>
        <v>2.9247910863509748E-2</v>
      </c>
      <c r="E18" s="19">
        <f t="shared" si="10"/>
        <v>718</v>
      </c>
      <c r="F18" s="19">
        <f t="shared" si="3"/>
        <v>20</v>
      </c>
      <c r="G18" s="13">
        <f t="shared" si="4"/>
        <v>0.95238095238095233</v>
      </c>
      <c r="H18" s="61">
        <v>2</v>
      </c>
      <c r="I18" s="65">
        <f t="shared" si="5"/>
        <v>9.5238095238095233E-2</v>
      </c>
      <c r="J18" s="63">
        <v>15</v>
      </c>
      <c r="K18" s="66">
        <f t="shared" si="6"/>
        <v>0.7142857142857143</v>
      </c>
      <c r="L18" s="63">
        <v>1</v>
      </c>
      <c r="M18" s="66">
        <f t="shared" si="7"/>
        <v>4.7619047619047616E-2</v>
      </c>
      <c r="N18" s="95">
        <v>2</v>
      </c>
      <c r="O18" s="64">
        <f t="shared" si="8"/>
        <v>9.5238095238095233E-2</v>
      </c>
      <c r="P18" s="110">
        <v>1</v>
      </c>
      <c r="Q18" s="115">
        <v>1</v>
      </c>
      <c r="R18" s="66">
        <f t="shared" si="9"/>
        <v>4.7619047619047616E-2</v>
      </c>
      <c r="S18" s="14">
        <f>+VLOOKUP(B18,'[2]Куриб чикиш натижаси'!$B$6:$F$26,5,FALSE)</f>
        <v>0</v>
      </c>
      <c r="T18" s="14">
        <f>+VLOOKUP(B18,'[2]Куриб чикиш натижаси'!$B$6:$H$26,7,FALSE)</f>
        <v>4</v>
      </c>
      <c r="U18" s="14">
        <f>+VLOOKUP(B18,'[2]Куриб чикиш натижаси'!$B$6:$J$26,9,FALSE)</f>
        <v>0</v>
      </c>
      <c r="V18" s="14">
        <f>+VLOOKUP(B18,'[2]Куриб чикиш натижаси'!$B$6:$L$26,11,FALSE)</f>
        <v>0</v>
      </c>
      <c r="W18" s="14">
        <f>+VLOOKUP(B18,'[2]Куриб чикиш натижаси'!$B$6:$O$26,14,FALSE)</f>
        <v>1</v>
      </c>
    </row>
    <row r="19" spans="1:23" ht="30" customHeight="1" x14ac:dyDescent="0.2">
      <c r="A19" s="6">
        <f t="shared" si="0"/>
        <v>14</v>
      </c>
      <c r="B19" s="9" t="s">
        <v>88</v>
      </c>
      <c r="C19" s="17">
        <f t="shared" si="1"/>
        <v>18</v>
      </c>
      <c r="D19" s="13">
        <f t="shared" si="2"/>
        <v>2.5069637883008356E-2</v>
      </c>
      <c r="E19" s="19">
        <f t="shared" si="10"/>
        <v>718</v>
      </c>
      <c r="F19" s="19">
        <f t="shared" si="3"/>
        <v>18</v>
      </c>
      <c r="G19" s="13">
        <f t="shared" si="4"/>
        <v>1</v>
      </c>
      <c r="H19" s="61">
        <v>2</v>
      </c>
      <c r="I19" s="65">
        <f t="shared" si="5"/>
        <v>0.1111111111111111</v>
      </c>
      <c r="J19" s="63">
        <v>13</v>
      </c>
      <c r="K19" s="66">
        <f t="shared" si="6"/>
        <v>0.72222222222222221</v>
      </c>
      <c r="L19" s="63">
        <v>3</v>
      </c>
      <c r="M19" s="66">
        <f t="shared" si="7"/>
        <v>0.16666666666666666</v>
      </c>
      <c r="N19" s="93">
        <v>0</v>
      </c>
      <c r="O19" s="64">
        <f t="shared" si="8"/>
        <v>0</v>
      </c>
      <c r="P19" s="111">
        <v>0</v>
      </c>
      <c r="Q19" s="116">
        <v>0</v>
      </c>
      <c r="R19" s="66">
        <f t="shared" si="9"/>
        <v>0</v>
      </c>
      <c r="S19" s="14">
        <f>+VLOOKUP(B19,'[2]Куриб чикиш натижаси'!$B$6:$F$26,5,FALSE)</f>
        <v>0</v>
      </c>
      <c r="T19" s="14">
        <f>+VLOOKUP(B19,'[2]Куриб чикиш натижаси'!$B$6:$H$26,7,FALSE)</f>
        <v>2</v>
      </c>
      <c r="U19" s="14">
        <f>+VLOOKUP(B19,'[2]Куриб чикиш натижаси'!$B$6:$J$26,9,FALSE)</f>
        <v>0</v>
      </c>
      <c r="V19" s="14">
        <f>+VLOOKUP(B19,'[2]Куриб чикиш натижаси'!$B$6:$L$26,11,FALSE)</f>
        <v>0</v>
      </c>
      <c r="W19" s="14">
        <f>+VLOOKUP(B19,'[2]Куриб чикиш натижаси'!$B$6:$O$26,14,FALSE)</f>
        <v>0</v>
      </c>
    </row>
    <row r="20" spans="1:23" ht="30" customHeight="1" x14ac:dyDescent="0.2">
      <c r="A20" s="6">
        <f t="shared" si="0"/>
        <v>15</v>
      </c>
      <c r="B20" s="9" t="s">
        <v>87</v>
      </c>
      <c r="C20" s="17">
        <f t="shared" si="1"/>
        <v>16</v>
      </c>
      <c r="D20" s="13">
        <f t="shared" si="2"/>
        <v>2.2284122562674095E-2</v>
      </c>
      <c r="E20" s="19">
        <f t="shared" si="10"/>
        <v>718</v>
      </c>
      <c r="F20" s="19">
        <f t="shared" si="3"/>
        <v>16</v>
      </c>
      <c r="G20" s="13">
        <f t="shared" si="4"/>
        <v>1</v>
      </c>
      <c r="H20" s="61">
        <v>2</v>
      </c>
      <c r="I20" s="65">
        <f t="shared" si="5"/>
        <v>0.125</v>
      </c>
      <c r="J20" s="63">
        <v>10</v>
      </c>
      <c r="K20" s="66">
        <f t="shared" si="6"/>
        <v>0.625</v>
      </c>
      <c r="L20" s="63">
        <v>4</v>
      </c>
      <c r="M20" s="66">
        <f t="shared" si="7"/>
        <v>0.25</v>
      </c>
      <c r="N20" s="67">
        <v>0</v>
      </c>
      <c r="O20" s="64">
        <f t="shared" si="8"/>
        <v>0</v>
      </c>
      <c r="P20" s="109">
        <v>0</v>
      </c>
      <c r="Q20" s="116">
        <v>0</v>
      </c>
      <c r="R20" s="66">
        <f t="shared" si="9"/>
        <v>0</v>
      </c>
      <c r="S20" s="14">
        <f>+VLOOKUP(B20,'[2]Куриб чикиш натижаси'!$B$6:$F$26,5,FALSE)</f>
        <v>0</v>
      </c>
      <c r="T20" s="14">
        <f>+VLOOKUP(B20,'[2]Куриб чикиш натижаси'!$B$6:$H$26,7,FALSE)</f>
        <v>0</v>
      </c>
      <c r="U20" s="14">
        <f>+VLOOKUP(B20,'[2]Куриб чикиш натижаси'!$B$6:$J$26,9,FALSE)</f>
        <v>0</v>
      </c>
      <c r="V20" s="14">
        <f>+VLOOKUP(B20,'[2]Куриб чикиш натижаси'!$B$6:$L$26,11,FALSE)</f>
        <v>0</v>
      </c>
      <c r="W20" s="14">
        <f>+VLOOKUP(B20,'[2]Куриб чикиш натижаси'!$B$6:$O$26,14,FALSE)</f>
        <v>0</v>
      </c>
    </row>
    <row r="21" spans="1:23" ht="30" customHeight="1" x14ac:dyDescent="0.2">
      <c r="A21" s="6">
        <f t="shared" si="0"/>
        <v>16</v>
      </c>
      <c r="B21" s="9" t="s">
        <v>90</v>
      </c>
      <c r="C21" s="17">
        <f t="shared" si="1"/>
        <v>13</v>
      </c>
      <c r="D21" s="13">
        <f t="shared" si="2"/>
        <v>1.8105849582172703E-2</v>
      </c>
      <c r="E21" s="19">
        <f t="shared" si="10"/>
        <v>718</v>
      </c>
      <c r="F21" s="19">
        <f t="shared" si="3"/>
        <v>13</v>
      </c>
      <c r="G21" s="13">
        <f t="shared" si="4"/>
        <v>1</v>
      </c>
      <c r="H21" s="61">
        <v>5</v>
      </c>
      <c r="I21" s="65">
        <f t="shared" si="5"/>
        <v>0.38461538461538464</v>
      </c>
      <c r="J21" s="63">
        <v>6</v>
      </c>
      <c r="K21" s="66">
        <f t="shared" si="6"/>
        <v>0.46153846153846156</v>
      </c>
      <c r="L21" s="63">
        <v>2</v>
      </c>
      <c r="M21" s="66">
        <f t="shared" si="7"/>
        <v>0.15384615384615385</v>
      </c>
      <c r="N21" s="67">
        <v>0</v>
      </c>
      <c r="O21" s="64">
        <f t="shared" si="8"/>
        <v>0</v>
      </c>
      <c r="P21" s="109">
        <v>0</v>
      </c>
      <c r="Q21" s="116">
        <v>0</v>
      </c>
      <c r="R21" s="66">
        <f t="shared" si="9"/>
        <v>0</v>
      </c>
      <c r="S21" s="14">
        <f>+VLOOKUP(B21,'[2]Куриб чикиш натижаси'!$B$6:$F$26,5,FALSE)</f>
        <v>0</v>
      </c>
      <c r="T21" s="14">
        <f>+VLOOKUP(B21,'[2]Куриб чикиш натижаси'!$B$6:$H$26,7,FALSE)</f>
        <v>0</v>
      </c>
      <c r="U21" s="14">
        <f>+VLOOKUP(B21,'[2]Куриб чикиш натижаси'!$B$6:$J$26,9,FALSE)</f>
        <v>1</v>
      </c>
      <c r="V21" s="14">
        <f>+VLOOKUP(B21,'[2]Куриб чикиш натижаси'!$B$6:$L$26,11,FALSE)</f>
        <v>0</v>
      </c>
      <c r="W21" s="14">
        <f>+VLOOKUP(B21,'[2]Куриб чикиш натижаси'!$B$6:$O$26,14,FALSE)</f>
        <v>0</v>
      </c>
    </row>
    <row r="22" spans="1:23" ht="30" customHeight="1" x14ac:dyDescent="0.2">
      <c r="A22" s="6">
        <f t="shared" si="0"/>
        <v>17</v>
      </c>
      <c r="B22" s="9" t="s">
        <v>74</v>
      </c>
      <c r="C22" s="17">
        <f t="shared" si="1"/>
        <v>13</v>
      </c>
      <c r="D22" s="13">
        <f t="shared" si="2"/>
        <v>1.8105849582172703E-2</v>
      </c>
      <c r="E22" s="19">
        <f t="shared" si="10"/>
        <v>718</v>
      </c>
      <c r="F22" s="19">
        <f t="shared" si="3"/>
        <v>13</v>
      </c>
      <c r="G22" s="13">
        <f t="shared" si="4"/>
        <v>1</v>
      </c>
      <c r="H22" s="61">
        <v>3</v>
      </c>
      <c r="I22" s="65">
        <f t="shared" si="5"/>
        <v>0.23076923076923078</v>
      </c>
      <c r="J22" s="63">
        <v>9</v>
      </c>
      <c r="K22" s="66">
        <f t="shared" si="6"/>
        <v>0.69230769230769229</v>
      </c>
      <c r="L22" s="67">
        <v>0</v>
      </c>
      <c r="M22" s="66">
        <f t="shared" si="7"/>
        <v>0</v>
      </c>
      <c r="N22" s="95">
        <v>1</v>
      </c>
      <c r="O22" s="64">
        <f t="shared" si="8"/>
        <v>7.6923076923076927E-2</v>
      </c>
      <c r="P22" s="109">
        <v>0</v>
      </c>
      <c r="Q22" s="116">
        <v>0</v>
      </c>
      <c r="R22" s="66">
        <f t="shared" si="9"/>
        <v>0</v>
      </c>
      <c r="S22" s="14">
        <f>+VLOOKUP(B22,'[2]Куриб чикиш натижаси'!$B$6:$F$26,5,FALSE)</f>
        <v>0</v>
      </c>
      <c r="T22" s="14">
        <f>+VLOOKUP(B22,'[2]Куриб чикиш натижаси'!$B$6:$H$26,7,FALSE)</f>
        <v>1</v>
      </c>
      <c r="U22" s="14">
        <f>+VLOOKUP(B22,'[2]Куриб чикиш натижаси'!$B$6:$J$26,9,FALSE)</f>
        <v>0</v>
      </c>
      <c r="V22" s="14">
        <f>+VLOOKUP(B22,'[2]Куриб чикиш натижаси'!$B$6:$L$26,11,FALSE)</f>
        <v>0</v>
      </c>
      <c r="W22" s="14">
        <f>+VLOOKUP(B22,'[2]Куриб чикиш натижаси'!$B$6:$O$26,14,FALSE)</f>
        <v>0</v>
      </c>
    </row>
    <row r="23" spans="1:23" ht="30" customHeight="1" x14ac:dyDescent="0.2">
      <c r="A23" s="6">
        <f t="shared" si="0"/>
        <v>18</v>
      </c>
      <c r="B23" s="8" t="s">
        <v>91</v>
      </c>
      <c r="C23" s="17">
        <f t="shared" si="1"/>
        <v>11</v>
      </c>
      <c r="D23" s="13">
        <f t="shared" si="2"/>
        <v>1.532033426183844E-2</v>
      </c>
      <c r="E23" s="19">
        <f t="shared" si="10"/>
        <v>718</v>
      </c>
      <c r="F23" s="19">
        <f t="shared" si="3"/>
        <v>11</v>
      </c>
      <c r="G23" s="13">
        <f t="shared" si="4"/>
        <v>1</v>
      </c>
      <c r="H23" s="94">
        <v>1</v>
      </c>
      <c r="I23" s="65">
        <f t="shared" si="5"/>
        <v>9.0909090909090912E-2</v>
      </c>
      <c r="J23" s="63">
        <f>((8+1)+0)+0</f>
        <v>9</v>
      </c>
      <c r="K23" s="66">
        <f t="shared" si="6"/>
        <v>0.81818181818181823</v>
      </c>
      <c r="L23" s="63">
        <v>1</v>
      </c>
      <c r="M23" s="66">
        <f t="shared" si="7"/>
        <v>9.0909090909090912E-2</v>
      </c>
      <c r="N23" s="67">
        <v>0</v>
      </c>
      <c r="O23" s="64">
        <f t="shared" si="8"/>
        <v>0</v>
      </c>
      <c r="P23" s="111">
        <v>0</v>
      </c>
      <c r="Q23" s="116">
        <v>0</v>
      </c>
      <c r="R23" s="66">
        <f t="shared" si="9"/>
        <v>0</v>
      </c>
      <c r="S23" s="14">
        <f>+VLOOKUP(B23,'[2]Куриб чикиш натижаси'!$B$6:$F$26,5,FALSE)</f>
        <v>0</v>
      </c>
      <c r="T23" s="14">
        <f>+VLOOKUP(B23,'[2]Куриб чикиш натижаси'!$B$6:$H$26,7,FALSE)</f>
        <v>0</v>
      </c>
      <c r="U23" s="14">
        <f>+VLOOKUP(B23,'[2]Куриб чикиш натижаси'!$B$6:$J$26,9,FALSE)</f>
        <v>0</v>
      </c>
      <c r="V23" s="14">
        <f>+VLOOKUP(B23,'[2]Куриб чикиш натижаси'!$B$6:$L$26,11,FALSE)</f>
        <v>0</v>
      </c>
      <c r="W23" s="14">
        <f>+VLOOKUP(B23,'[2]Куриб чикиш натижаси'!$B$6:$O$26,14,FALSE)</f>
        <v>0</v>
      </c>
    </row>
    <row r="24" spans="1:23" ht="30" customHeight="1" x14ac:dyDescent="0.2">
      <c r="A24" s="6">
        <f t="shared" si="0"/>
        <v>19</v>
      </c>
      <c r="B24" s="9" t="s">
        <v>28</v>
      </c>
      <c r="C24" s="17">
        <f t="shared" si="1"/>
        <v>11</v>
      </c>
      <c r="D24" s="13">
        <f t="shared" si="2"/>
        <v>1.532033426183844E-2</v>
      </c>
      <c r="E24" s="19">
        <f t="shared" si="10"/>
        <v>718</v>
      </c>
      <c r="F24" s="19">
        <f t="shared" si="3"/>
        <v>11</v>
      </c>
      <c r="G24" s="13">
        <f t="shared" si="4"/>
        <v>1</v>
      </c>
      <c r="H24" s="61">
        <v>1</v>
      </c>
      <c r="I24" s="65">
        <f t="shared" si="5"/>
        <v>9.0909090909090912E-2</v>
      </c>
      <c r="J24" s="63">
        <v>8</v>
      </c>
      <c r="K24" s="66">
        <f t="shared" si="6"/>
        <v>0.72727272727272729</v>
      </c>
      <c r="L24" s="63">
        <v>2</v>
      </c>
      <c r="M24" s="66">
        <f t="shared" si="7"/>
        <v>0.18181818181818182</v>
      </c>
      <c r="N24" s="67">
        <v>0</v>
      </c>
      <c r="O24" s="64">
        <f t="shared" si="8"/>
        <v>0</v>
      </c>
      <c r="P24" s="109">
        <v>0</v>
      </c>
      <c r="Q24" s="116">
        <v>0</v>
      </c>
      <c r="R24" s="66">
        <f t="shared" si="9"/>
        <v>0</v>
      </c>
      <c r="S24" s="14">
        <f>+VLOOKUP(B24,'[2]Куриб чикиш натижаси'!$B$6:$F$26,5,FALSE)</f>
        <v>0</v>
      </c>
      <c r="T24" s="14">
        <f>+VLOOKUP(B24,'[2]Куриб чикиш натижаси'!$B$6:$H$26,7,FALSE)</f>
        <v>3</v>
      </c>
      <c r="U24" s="14">
        <f>+VLOOKUP(B24,'[2]Куриб чикиш натижаси'!$B$6:$J$26,9,FALSE)</f>
        <v>0</v>
      </c>
      <c r="V24" s="14">
        <f>+VLOOKUP(B24,'[2]Куриб чикиш натижаси'!$B$6:$L$26,11,FALSE)</f>
        <v>0</v>
      </c>
      <c r="W24" s="14">
        <f>+VLOOKUP(B24,'[2]Куриб чикиш натижаси'!$B$6:$O$26,14,FALSE)</f>
        <v>0</v>
      </c>
    </row>
    <row r="25" spans="1:23" ht="30" customHeight="1" x14ac:dyDescent="0.2">
      <c r="A25" s="6">
        <f t="shared" si="0"/>
        <v>20</v>
      </c>
      <c r="B25" s="9" t="s">
        <v>93</v>
      </c>
      <c r="C25" s="17">
        <f t="shared" si="1"/>
        <v>9</v>
      </c>
      <c r="D25" s="13">
        <f t="shared" si="2"/>
        <v>1.2534818941504178E-2</v>
      </c>
      <c r="E25" s="19">
        <f t="shared" si="10"/>
        <v>718</v>
      </c>
      <c r="F25" s="19">
        <f t="shared" si="3"/>
        <v>9</v>
      </c>
      <c r="G25" s="13">
        <f t="shared" si="4"/>
        <v>1</v>
      </c>
      <c r="H25" s="61">
        <v>1</v>
      </c>
      <c r="I25" s="65">
        <f t="shared" si="5"/>
        <v>0.1111111111111111</v>
      </c>
      <c r="J25" s="63">
        <v>8</v>
      </c>
      <c r="K25" s="66">
        <f t="shared" si="6"/>
        <v>0.88888888888888884</v>
      </c>
      <c r="L25" s="67">
        <v>0</v>
      </c>
      <c r="M25" s="66">
        <f t="shared" si="7"/>
        <v>0</v>
      </c>
      <c r="N25" s="93">
        <v>0</v>
      </c>
      <c r="O25" s="64">
        <f t="shared" si="8"/>
        <v>0</v>
      </c>
      <c r="P25" s="109">
        <v>0</v>
      </c>
      <c r="Q25" s="116">
        <v>0</v>
      </c>
      <c r="R25" s="66">
        <f t="shared" si="9"/>
        <v>0</v>
      </c>
      <c r="S25" s="14">
        <f>+VLOOKUP(B25,'[2]Куриб чикиш натижаси'!$B$6:$F$26,5,FALSE)</f>
        <v>0</v>
      </c>
      <c r="T25" s="14">
        <f>+VLOOKUP(B25,'[2]Куриб чикиш натижаси'!$B$6:$H$26,7,FALSE)</f>
        <v>1</v>
      </c>
      <c r="U25" s="14">
        <f>+VLOOKUP(B25,'[2]Куриб чикиш натижаси'!$B$6:$J$26,9,FALSE)</f>
        <v>0</v>
      </c>
      <c r="V25" s="14">
        <f>+VLOOKUP(B25,'[2]Куриб чикиш натижаси'!$B$6:$L$26,11,FALSE)</f>
        <v>0</v>
      </c>
      <c r="W25" s="14">
        <f>+VLOOKUP(B25,'[2]Куриб чикиш натижаси'!$B$6:$O$26,14,FALSE)</f>
        <v>0</v>
      </c>
    </row>
    <row r="26" spans="1:23" ht="30" customHeight="1" thickBot="1" x14ac:dyDescent="0.25">
      <c r="A26" s="6">
        <f t="shared" si="0"/>
        <v>21</v>
      </c>
      <c r="B26" s="10" t="s">
        <v>94</v>
      </c>
      <c r="C26" s="17">
        <f t="shared" si="1"/>
        <v>3</v>
      </c>
      <c r="D26" s="35">
        <f t="shared" si="2"/>
        <v>4.178272980501393E-3</v>
      </c>
      <c r="E26" s="19">
        <f t="shared" si="10"/>
        <v>718</v>
      </c>
      <c r="F26" s="19">
        <f t="shared" si="3"/>
        <v>3</v>
      </c>
      <c r="G26" s="13">
        <f t="shared" si="4"/>
        <v>1</v>
      </c>
      <c r="H26" s="67">
        <v>0</v>
      </c>
      <c r="I26" s="68">
        <v>0</v>
      </c>
      <c r="J26" s="107">
        <v>3</v>
      </c>
      <c r="K26" s="66">
        <f t="shared" si="6"/>
        <v>1</v>
      </c>
      <c r="L26" s="67">
        <v>0</v>
      </c>
      <c r="M26" s="69">
        <v>0</v>
      </c>
      <c r="N26" s="67">
        <v>0</v>
      </c>
      <c r="O26" s="64">
        <v>0</v>
      </c>
      <c r="P26" s="112">
        <v>0</v>
      </c>
      <c r="Q26" s="117">
        <v>0</v>
      </c>
      <c r="R26" s="69">
        <v>0</v>
      </c>
      <c r="S26" s="14">
        <f>+VLOOKUP(B26,'[2]Куриб чикиш натижаси'!$B$6:$F$26,5,FALSE)</f>
        <v>0</v>
      </c>
      <c r="T26" s="14">
        <f>+VLOOKUP(B26,'[2]Куриб чикиш натижаси'!$B$6:$H$26,7,FALSE)</f>
        <v>0</v>
      </c>
      <c r="U26" s="14">
        <f>+VLOOKUP(B26,'[2]Куриб чикиш натижаси'!$B$6:$J$26,9,FALSE)</f>
        <v>0</v>
      </c>
      <c r="V26" s="14">
        <f>+VLOOKUP(B26,'[2]Куриб чикиш натижаси'!$B$6:$L$26,11,FALSE)</f>
        <v>0</v>
      </c>
      <c r="W26" s="14">
        <f>+VLOOKUP(B26,'[2]Куриб чикиш натижаси'!$B$6:$O$26,14,FALSE)</f>
        <v>0</v>
      </c>
    </row>
    <row r="27" spans="1:23" s="4" customFormat="1" ht="30.75" customHeight="1" thickBot="1" x14ac:dyDescent="0.3">
      <c r="A27" s="222" t="s">
        <v>14</v>
      </c>
      <c r="B27" s="223"/>
      <c r="C27" s="58">
        <f>SUM(C6:C26)</f>
        <v>718</v>
      </c>
      <c r="D27" s="42">
        <f t="shared" ref="D27" si="11">+C27/E27</f>
        <v>1</v>
      </c>
      <c r="E27" s="57">
        <f t="shared" si="10"/>
        <v>718</v>
      </c>
      <c r="F27" s="55">
        <f>SUM(F6:F26)</f>
        <v>709</v>
      </c>
      <c r="G27" s="59">
        <f>+F27/C27</f>
        <v>0.98746518105849579</v>
      </c>
      <c r="H27" s="55">
        <f>SUM(H6:H26)</f>
        <v>86</v>
      </c>
      <c r="I27" s="51">
        <f>+H27/C27</f>
        <v>0.11977715877437325</v>
      </c>
      <c r="J27" s="56">
        <f>SUM(J6:J26)</f>
        <v>532</v>
      </c>
      <c r="K27" s="51">
        <f>+J27/C27</f>
        <v>0.74094707520891367</v>
      </c>
      <c r="L27" s="56">
        <f>SUM(L6:L26)</f>
        <v>80</v>
      </c>
      <c r="M27" s="46">
        <f>+L27/C27</f>
        <v>0.11142061281337047</v>
      </c>
      <c r="N27" s="56">
        <f>SUM(N6:N26)</f>
        <v>11</v>
      </c>
      <c r="O27" s="46">
        <f>+N27/C27</f>
        <v>1.532033426183844E-2</v>
      </c>
      <c r="P27" s="60">
        <f>SUM(P6:P26)</f>
        <v>3</v>
      </c>
      <c r="Q27" s="113">
        <f>SUM(Q6:Q26)</f>
        <v>9</v>
      </c>
      <c r="R27" s="114">
        <f>+Q27/C27</f>
        <v>1.2534818941504178E-2</v>
      </c>
      <c r="S27" s="57">
        <f>SUM(S6:S26)</f>
        <v>7</v>
      </c>
      <c r="T27" s="57">
        <f>SUM(T6:T26)</f>
        <v>38</v>
      </c>
      <c r="U27" s="57">
        <f>SUM(U6:U26)</f>
        <v>7</v>
      </c>
      <c r="V27" s="57">
        <f>SUM(V6:V26)</f>
        <v>1</v>
      </c>
      <c r="W27" s="57">
        <f>SUM(W6:W26)</f>
        <v>9</v>
      </c>
    </row>
    <row r="28" spans="1:23" x14ac:dyDescent="0.2">
      <c r="H28" s="11"/>
      <c r="I28" s="11"/>
      <c r="J28" s="12"/>
      <c r="K28" s="12"/>
      <c r="L28" s="12"/>
    </row>
    <row r="30" spans="1:23" x14ac:dyDescent="0.2">
      <c r="T30" s="1">
        <f>544+112</f>
        <v>656</v>
      </c>
    </row>
    <row r="31" spans="1:23" x14ac:dyDescent="0.2">
      <c r="T31" s="1">
        <f>+T30-C27</f>
        <v>-62</v>
      </c>
    </row>
  </sheetData>
  <autoFilter ref="A5:R5" xr:uid="{00000000-0009-0000-0000-000002000000}">
    <sortState xmlns:xlrd2="http://schemas.microsoft.com/office/spreadsheetml/2017/richdata2" ref="A8:R26">
      <sortCondition descending="1" ref="C5"/>
    </sortState>
  </autoFilter>
  <mergeCells count="18">
    <mergeCell ref="P2:R2"/>
    <mergeCell ref="A1:R1"/>
    <mergeCell ref="F3:F5"/>
    <mergeCell ref="G3:G5"/>
    <mergeCell ref="H4:I4"/>
    <mergeCell ref="J4:K4"/>
    <mergeCell ref="L4:M4"/>
    <mergeCell ref="A3:A5"/>
    <mergeCell ref="B3:B5"/>
    <mergeCell ref="C3:C5"/>
    <mergeCell ref="H3:O3"/>
    <mergeCell ref="N4:O4"/>
    <mergeCell ref="P3:P5"/>
    <mergeCell ref="D3:D5"/>
    <mergeCell ref="E3:E5"/>
    <mergeCell ref="A27:B27"/>
    <mergeCell ref="Q3:Q5"/>
    <mergeCell ref="R3:R5"/>
  </mergeCells>
  <pageMargins left="0.53" right="0.31496062992125984" top="0.59" bottom="0.35433070866141736" header="0.31496062992125984" footer="0.31496062992125984"/>
  <pageSetup paperSize="9" scale="59" fitToHeight="0" orientation="landscape" horizontalDpi="0" verticalDpi="0" r:id="rId1"/>
  <ignoredErrors>
    <ignoredError sqref="Q27:R27 G27:M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41"/>
  <sheetViews>
    <sheetView tabSelected="1" view="pageBreakPreview" zoomScaleNormal="85" zoomScaleSheetLayoutView="100" workbookViewId="0">
      <pane xSplit="2" ySplit="5" topLeftCell="C15" activePane="bottomRight" state="frozen"/>
      <selection pane="topRight" activeCell="C1" sqref="C1"/>
      <selection pane="bottomLeft" activeCell="A5" sqref="A5"/>
      <selection pane="bottomRight" activeCell="M10" sqref="M10"/>
    </sheetView>
  </sheetViews>
  <sheetFormatPr defaultRowHeight="15" x14ac:dyDescent="0.25"/>
  <cols>
    <col min="1" max="1" width="5" customWidth="1"/>
    <col min="2" max="2" width="36.5703125" customWidth="1"/>
    <col min="3" max="3" width="13.5703125" customWidth="1"/>
    <col min="4" max="4" width="13.5703125" style="15" customWidth="1"/>
    <col min="5" max="6" width="14" customWidth="1"/>
    <col min="7" max="12" width="10.85546875" customWidth="1"/>
    <col min="13" max="15" width="9.7109375" customWidth="1"/>
    <col min="16" max="16" width="12" customWidth="1"/>
    <col min="17" max="18" width="10.42578125" customWidth="1"/>
    <col min="22" max="22" width="10.28515625" bestFit="1" customWidth="1"/>
  </cols>
  <sheetData>
    <row r="1" spans="1:24" ht="47.25" customHeight="1" x14ac:dyDescent="0.25">
      <c r="A1" s="190" t="s">
        <v>109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5"/>
    </row>
    <row r="2" spans="1:24" s="15" customFormat="1" ht="23.25" customHeight="1" thickBot="1" x14ac:dyDescent="0.3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208" t="s">
        <v>104</v>
      </c>
      <c r="Q2" s="208"/>
      <c r="R2" s="208"/>
    </row>
    <row r="3" spans="1:24" ht="39" customHeight="1" x14ac:dyDescent="0.25">
      <c r="A3" s="232" t="s">
        <v>0</v>
      </c>
      <c r="B3" s="248" t="s">
        <v>1</v>
      </c>
      <c r="C3" s="257" t="s">
        <v>36</v>
      </c>
      <c r="D3" s="258"/>
      <c r="E3" s="251" t="s">
        <v>52</v>
      </c>
      <c r="F3" s="252"/>
      <c r="G3" s="244" t="s">
        <v>69</v>
      </c>
      <c r="H3" s="245"/>
      <c r="I3" s="245"/>
      <c r="J3" s="245"/>
      <c r="K3" s="245"/>
      <c r="L3" s="245"/>
      <c r="M3" s="245"/>
      <c r="N3" s="245"/>
      <c r="O3" s="245"/>
      <c r="P3" s="246"/>
      <c r="Q3" s="242" t="s">
        <v>53</v>
      </c>
      <c r="R3" s="229"/>
      <c r="S3" s="15"/>
    </row>
    <row r="4" spans="1:24" ht="21.75" customHeight="1" x14ac:dyDescent="0.25">
      <c r="A4" s="233"/>
      <c r="B4" s="249"/>
      <c r="C4" s="253" t="s">
        <v>54</v>
      </c>
      <c r="D4" s="255" t="s">
        <v>38</v>
      </c>
      <c r="E4" s="253" t="s">
        <v>54</v>
      </c>
      <c r="F4" s="255" t="s">
        <v>38</v>
      </c>
      <c r="G4" s="240" t="s">
        <v>55</v>
      </c>
      <c r="H4" s="241"/>
      <c r="I4" s="241" t="s">
        <v>56</v>
      </c>
      <c r="J4" s="241"/>
      <c r="K4" s="241" t="s">
        <v>57</v>
      </c>
      <c r="L4" s="241"/>
      <c r="M4" s="241" t="s">
        <v>58</v>
      </c>
      <c r="N4" s="241"/>
      <c r="O4" s="241" t="s">
        <v>68</v>
      </c>
      <c r="P4" s="247"/>
      <c r="Q4" s="243"/>
      <c r="R4" s="230"/>
      <c r="S4" s="15" t="s">
        <v>55</v>
      </c>
      <c r="T4" t="s">
        <v>56</v>
      </c>
      <c r="U4" t="s">
        <v>57</v>
      </c>
      <c r="V4" t="s">
        <v>107</v>
      </c>
    </row>
    <row r="5" spans="1:24" ht="15.75" thickBot="1" x14ac:dyDescent="0.3">
      <c r="A5" s="234"/>
      <c r="B5" s="250"/>
      <c r="C5" s="254"/>
      <c r="D5" s="256"/>
      <c r="E5" s="254"/>
      <c r="F5" s="256"/>
      <c r="G5" s="82" t="s">
        <v>54</v>
      </c>
      <c r="H5" s="83" t="s">
        <v>38</v>
      </c>
      <c r="I5" s="83" t="s">
        <v>54</v>
      </c>
      <c r="J5" s="83" t="s">
        <v>38</v>
      </c>
      <c r="K5" s="83" t="s">
        <v>54</v>
      </c>
      <c r="L5" s="83" t="s">
        <v>38</v>
      </c>
      <c r="M5" s="83" t="s">
        <v>54</v>
      </c>
      <c r="N5" s="83" t="s">
        <v>38</v>
      </c>
      <c r="O5" s="83" t="s">
        <v>54</v>
      </c>
      <c r="P5" s="84" t="s">
        <v>38</v>
      </c>
      <c r="Q5" s="82" t="s">
        <v>54</v>
      </c>
      <c r="R5" s="84" t="s">
        <v>38</v>
      </c>
      <c r="S5" s="15"/>
    </row>
    <row r="6" spans="1:24" ht="18" customHeight="1" x14ac:dyDescent="0.25">
      <c r="A6" s="118">
        <v>1</v>
      </c>
      <c r="B6" s="176" t="s">
        <v>78</v>
      </c>
      <c r="C6" s="167">
        <f t="shared" ref="C6:C26" si="0">+E6+Q6</f>
        <v>134</v>
      </c>
      <c r="D6" s="168">
        <f t="shared" ref="D6:D26" si="1">+C6/X6</f>
        <v>0.18662952646239556</v>
      </c>
      <c r="E6" s="165">
        <f t="shared" ref="E6:E26" si="2">+G6+I6+K6+M6+O6</f>
        <v>133</v>
      </c>
      <c r="F6" s="166">
        <f t="shared" ref="F6:F26" si="3">+E6/C6</f>
        <v>0.9925373134328358</v>
      </c>
      <c r="G6" s="149">
        <f>(24+3)+2</f>
        <v>29</v>
      </c>
      <c r="H6" s="150">
        <f t="shared" ref="H6:H26" si="4">+G6/C6</f>
        <v>0.21641791044776118</v>
      </c>
      <c r="I6" s="151">
        <f>((55+3)+4)+4</f>
        <v>66</v>
      </c>
      <c r="J6" s="150">
        <f t="shared" ref="J6:J26" si="5">+I6/C6</f>
        <v>0.4925373134328358</v>
      </c>
      <c r="K6" s="152">
        <v>24</v>
      </c>
      <c r="L6" s="150">
        <f t="shared" ref="L6:L25" si="6">+K6/C6</f>
        <v>0.17910447761194029</v>
      </c>
      <c r="M6" s="151">
        <v>12</v>
      </c>
      <c r="N6" s="150">
        <f t="shared" ref="N6:N25" si="7">+M6/C6</f>
        <v>8.9552238805970144E-2</v>
      </c>
      <c r="O6" s="153">
        <v>2</v>
      </c>
      <c r="P6" s="154">
        <f t="shared" ref="P6:P25" si="8">+O6/C6</f>
        <v>1.4925373134328358E-2</v>
      </c>
      <c r="Q6" s="141">
        <v>1</v>
      </c>
      <c r="R6" s="142">
        <f t="shared" ref="R6:R25" si="9">+Q6/C6</f>
        <v>7.462686567164179E-3</v>
      </c>
      <c r="S6" s="15">
        <f>VLOOKUP(B6,'[2]Кўриб чикиш муддати'!$B$6:$F$26,5,0)</f>
        <v>2</v>
      </c>
      <c r="T6">
        <f>VLOOKUP(B6,'[2]Кўриб чикиш муддати'!$B$6:$H$26,7,0)</f>
        <v>4</v>
      </c>
      <c r="U6">
        <f>VLOOKUP(B6,'[2]Кўриб чикиш муддати'!$B$6:$J$26,9,0)</f>
        <v>1</v>
      </c>
      <c r="V6" s="15">
        <f>VLOOKUP(B6,'[2]Кўриб чикиш муддати'!$B$6:$P$26,15,0)</f>
        <v>1</v>
      </c>
      <c r="X6">
        <v>718</v>
      </c>
    </row>
    <row r="7" spans="1:24" s="15" customFormat="1" ht="18" customHeight="1" x14ac:dyDescent="0.25">
      <c r="A7" s="118">
        <f t="shared" ref="A7:A26" si="10">+A6+1</f>
        <v>2</v>
      </c>
      <c r="B7" s="176" t="s">
        <v>79</v>
      </c>
      <c r="C7" s="167">
        <f t="shared" si="0"/>
        <v>104</v>
      </c>
      <c r="D7" s="168">
        <f t="shared" si="1"/>
        <v>0.14484679665738162</v>
      </c>
      <c r="E7" s="167">
        <f t="shared" si="2"/>
        <v>102</v>
      </c>
      <c r="F7" s="168">
        <f t="shared" si="3"/>
        <v>0.98076923076923073</v>
      </c>
      <c r="G7" s="155">
        <f>(23+1)+0</f>
        <v>24</v>
      </c>
      <c r="H7" s="71">
        <f t="shared" si="4"/>
        <v>0.23076923076923078</v>
      </c>
      <c r="I7" s="75">
        <v>45</v>
      </c>
      <c r="J7" s="71">
        <f t="shared" si="5"/>
        <v>0.43269230769230771</v>
      </c>
      <c r="K7" s="74">
        <v>23</v>
      </c>
      <c r="L7" s="71">
        <f t="shared" si="6"/>
        <v>0.22115384615384615</v>
      </c>
      <c r="M7" s="75">
        <f>((5+1)+0)+2</f>
        <v>8</v>
      </c>
      <c r="N7" s="71">
        <f t="shared" si="7"/>
        <v>7.6923076923076927E-2</v>
      </c>
      <c r="O7" s="76">
        <v>2</v>
      </c>
      <c r="P7" s="156">
        <f t="shared" si="8"/>
        <v>1.9230769230769232E-2</v>
      </c>
      <c r="Q7" s="143">
        <v>2</v>
      </c>
      <c r="R7" s="138">
        <f t="shared" si="9"/>
        <v>1.9230769230769232E-2</v>
      </c>
      <c r="S7" s="15">
        <f>VLOOKUP(B7,'[2]Кўриб чикиш муддати'!$B$6:$F$26,5,0)</f>
        <v>0</v>
      </c>
      <c r="T7" s="15">
        <f>VLOOKUP(B7,'[2]Кўриб чикиш муддати'!$B$6:$H$26,7,0)</f>
        <v>2</v>
      </c>
      <c r="U7" s="15">
        <f>VLOOKUP(B7,'[2]Кўриб чикиш муддати'!$B$6:$J$26,9,0)</f>
        <v>3</v>
      </c>
      <c r="V7" s="15">
        <f>VLOOKUP(B7,'[2]Кўриб чикиш муддати'!$B$6:$P$26,15,0)</f>
        <v>2</v>
      </c>
      <c r="X7" s="15">
        <f t="shared" ref="X7:X27" si="11">+X6</f>
        <v>718</v>
      </c>
    </row>
    <row r="8" spans="1:24" ht="18" customHeight="1" x14ac:dyDescent="0.25">
      <c r="A8" s="118">
        <f t="shared" si="10"/>
        <v>3</v>
      </c>
      <c r="B8" s="177" t="s">
        <v>80</v>
      </c>
      <c r="C8" s="169">
        <f t="shared" si="0"/>
        <v>58</v>
      </c>
      <c r="D8" s="170">
        <f t="shared" si="1"/>
        <v>8.0779944289693595E-2</v>
      </c>
      <c r="E8" s="169">
        <f t="shared" si="2"/>
        <v>57</v>
      </c>
      <c r="F8" s="170">
        <f t="shared" si="3"/>
        <v>0.98275862068965514</v>
      </c>
      <c r="G8" s="155">
        <v>20</v>
      </c>
      <c r="H8" s="72">
        <f t="shared" si="4"/>
        <v>0.34482758620689657</v>
      </c>
      <c r="I8" s="75">
        <v>20</v>
      </c>
      <c r="J8" s="72">
        <f t="shared" si="5"/>
        <v>0.34482758620689657</v>
      </c>
      <c r="K8" s="77">
        <f>(((9+2)+0)+2)+2</f>
        <v>15</v>
      </c>
      <c r="L8" s="72">
        <f t="shared" si="6"/>
        <v>0.25862068965517243</v>
      </c>
      <c r="M8" s="78">
        <v>2</v>
      </c>
      <c r="N8" s="72">
        <f t="shared" si="7"/>
        <v>3.4482758620689655E-2</v>
      </c>
      <c r="O8" s="73">
        <v>0</v>
      </c>
      <c r="P8" s="157">
        <f t="shared" si="8"/>
        <v>0</v>
      </c>
      <c r="Q8" s="143">
        <v>1</v>
      </c>
      <c r="R8" s="139">
        <f t="shared" si="9"/>
        <v>1.7241379310344827E-2</v>
      </c>
      <c r="S8" s="15">
        <f>VLOOKUP(B8,'[2]Кўриб чикиш муддати'!$B$6:$F$26,5,0)</f>
        <v>0</v>
      </c>
      <c r="T8" s="15">
        <f>VLOOKUP(B8,'[2]Кўриб чикиш муддати'!$B$6:$H$26,7,0)</f>
        <v>2</v>
      </c>
      <c r="U8" s="15">
        <f>VLOOKUP(B8,'[2]Кўриб чикиш муддати'!$B$6:$J$26,9,0)</f>
        <v>2</v>
      </c>
      <c r="V8" s="15">
        <f>VLOOKUP(B8,'[2]Кўриб чикиш муддати'!$B$6:$P$26,15,0)</f>
        <v>1</v>
      </c>
      <c r="W8" s="15"/>
      <c r="X8" s="15">
        <f t="shared" si="11"/>
        <v>718</v>
      </c>
    </row>
    <row r="9" spans="1:24" ht="18" customHeight="1" x14ac:dyDescent="0.25">
      <c r="A9" s="118">
        <f t="shared" si="10"/>
        <v>4</v>
      </c>
      <c r="B9" s="177" t="s">
        <v>81</v>
      </c>
      <c r="C9" s="169">
        <f t="shared" si="0"/>
        <v>50</v>
      </c>
      <c r="D9" s="170">
        <f t="shared" si="1"/>
        <v>6.9637883008356549E-2</v>
      </c>
      <c r="E9" s="169">
        <f t="shared" si="2"/>
        <v>49</v>
      </c>
      <c r="F9" s="170">
        <f t="shared" si="3"/>
        <v>0.98</v>
      </c>
      <c r="G9" s="155">
        <v>21</v>
      </c>
      <c r="H9" s="72">
        <f t="shared" si="4"/>
        <v>0.42</v>
      </c>
      <c r="I9" s="75">
        <f>((15+2)+0)+0</f>
        <v>17</v>
      </c>
      <c r="J9" s="72">
        <f t="shared" si="5"/>
        <v>0.34</v>
      </c>
      <c r="K9" s="77">
        <v>7</v>
      </c>
      <c r="L9" s="72">
        <f t="shared" si="6"/>
        <v>0.14000000000000001</v>
      </c>
      <c r="M9" s="78">
        <v>3</v>
      </c>
      <c r="N9" s="72">
        <f t="shared" si="7"/>
        <v>0.06</v>
      </c>
      <c r="O9" s="79">
        <v>1</v>
      </c>
      <c r="P9" s="157">
        <f t="shared" si="8"/>
        <v>0.02</v>
      </c>
      <c r="Q9" s="143">
        <v>1</v>
      </c>
      <c r="R9" s="139">
        <f t="shared" si="9"/>
        <v>0.02</v>
      </c>
      <c r="S9" s="15">
        <f>VLOOKUP(B9,'[2]Кўриб чикиш муддати'!$B$6:$F$26,5,0)</f>
        <v>1</v>
      </c>
      <c r="T9" s="15">
        <f>VLOOKUP(B9,'[2]Кўриб чикиш муддати'!$B$6:$H$26,7,0)</f>
        <v>0</v>
      </c>
      <c r="U9" s="15">
        <f>VLOOKUP(B9,'[2]Кўриб чикиш муддати'!$B$6:$J$26,9,0)</f>
        <v>0</v>
      </c>
      <c r="V9" s="15">
        <f>VLOOKUP(B9,'[2]Кўриб чикиш муддати'!$B$6:$P$26,15,0)</f>
        <v>1</v>
      </c>
      <c r="W9" s="15"/>
      <c r="X9" s="15">
        <f t="shared" si="11"/>
        <v>718</v>
      </c>
    </row>
    <row r="10" spans="1:24" ht="18" customHeight="1" x14ac:dyDescent="0.25">
      <c r="A10" s="118">
        <f t="shared" si="10"/>
        <v>5</v>
      </c>
      <c r="B10" s="177" t="s">
        <v>82</v>
      </c>
      <c r="C10" s="169">
        <f t="shared" si="0"/>
        <v>44</v>
      </c>
      <c r="D10" s="170">
        <f t="shared" si="1"/>
        <v>6.1281337047353758E-2</v>
      </c>
      <c r="E10" s="169">
        <f t="shared" si="2"/>
        <v>43</v>
      </c>
      <c r="F10" s="170">
        <f t="shared" si="3"/>
        <v>0.97727272727272729</v>
      </c>
      <c r="G10" s="155">
        <v>14</v>
      </c>
      <c r="H10" s="72">
        <f t="shared" si="4"/>
        <v>0.31818181818181818</v>
      </c>
      <c r="I10" s="75">
        <f>((((13+1)+1)+1+2)+0)+1</f>
        <v>19</v>
      </c>
      <c r="J10" s="72">
        <f t="shared" si="5"/>
        <v>0.43181818181818182</v>
      </c>
      <c r="K10" s="77">
        <v>9</v>
      </c>
      <c r="L10" s="72">
        <f t="shared" si="6"/>
        <v>0.20454545454545456</v>
      </c>
      <c r="M10" s="78">
        <v>1</v>
      </c>
      <c r="N10" s="72">
        <f t="shared" si="7"/>
        <v>2.2727272727272728E-2</v>
      </c>
      <c r="O10" s="73">
        <v>0</v>
      </c>
      <c r="P10" s="157">
        <f t="shared" si="8"/>
        <v>0</v>
      </c>
      <c r="Q10" s="143">
        <v>1</v>
      </c>
      <c r="R10" s="139">
        <f t="shared" si="9"/>
        <v>2.2727272727272728E-2</v>
      </c>
      <c r="S10" s="15">
        <f>VLOOKUP(B10,'[2]Кўриб чикиш муддати'!$B$6:$F$26,5,0)</f>
        <v>2</v>
      </c>
      <c r="T10" s="15">
        <f>VLOOKUP(B10,'[2]Кўриб чикиш муддати'!$B$6:$H$26,7,0)</f>
        <v>1</v>
      </c>
      <c r="U10" s="15">
        <f>VLOOKUP(B10,'[2]Кўриб чикиш муддати'!$B$6:$J$26,9,0)</f>
        <v>0</v>
      </c>
      <c r="V10" s="15">
        <f>VLOOKUP(B10,'[2]Кўриб чикиш муддати'!$B$6:$P$26,15,0)</f>
        <v>1</v>
      </c>
      <c r="W10" s="15"/>
      <c r="X10" s="15">
        <f t="shared" si="11"/>
        <v>718</v>
      </c>
    </row>
    <row r="11" spans="1:24" ht="18" customHeight="1" x14ac:dyDescent="0.25">
      <c r="A11" s="118">
        <f t="shared" si="10"/>
        <v>6</v>
      </c>
      <c r="B11" s="177" t="s">
        <v>83</v>
      </c>
      <c r="C11" s="169">
        <f t="shared" si="0"/>
        <v>41</v>
      </c>
      <c r="D11" s="170">
        <f t="shared" si="1"/>
        <v>5.7103064066852366E-2</v>
      </c>
      <c r="E11" s="169">
        <f t="shared" si="2"/>
        <v>40</v>
      </c>
      <c r="F11" s="170">
        <f t="shared" si="3"/>
        <v>0.97560975609756095</v>
      </c>
      <c r="G11" s="155">
        <v>11</v>
      </c>
      <c r="H11" s="72">
        <f t="shared" si="4"/>
        <v>0.26829268292682928</v>
      </c>
      <c r="I11" s="75">
        <f>((14+2)+0)+3</f>
        <v>19</v>
      </c>
      <c r="J11" s="72">
        <f t="shared" si="5"/>
        <v>0.46341463414634149</v>
      </c>
      <c r="K11" s="77">
        <v>6</v>
      </c>
      <c r="L11" s="72">
        <f t="shared" si="6"/>
        <v>0.14634146341463414</v>
      </c>
      <c r="M11" s="78">
        <v>4</v>
      </c>
      <c r="N11" s="72">
        <f t="shared" si="7"/>
        <v>9.7560975609756101E-2</v>
      </c>
      <c r="O11" s="73">
        <v>0</v>
      </c>
      <c r="P11" s="157">
        <f t="shared" si="8"/>
        <v>0</v>
      </c>
      <c r="Q11" s="143">
        <v>1</v>
      </c>
      <c r="R11" s="139">
        <f t="shared" si="9"/>
        <v>2.4390243902439025E-2</v>
      </c>
      <c r="S11" s="15">
        <f>VLOOKUP(B11,'[2]Кўриб чикиш муддати'!$B$6:$F$26,5,0)</f>
        <v>0</v>
      </c>
      <c r="T11" s="15">
        <f>VLOOKUP(B11,'[2]Кўриб чикиш муддати'!$B$6:$H$26,7,0)</f>
        <v>3</v>
      </c>
      <c r="U11" s="15">
        <f>VLOOKUP(B11,'[2]Кўриб чикиш муддати'!$B$6:$J$26,9,0)</f>
        <v>1</v>
      </c>
      <c r="V11" s="15">
        <f>VLOOKUP(B11,'[2]Кўриб чикиш муддати'!$B$6:$P$26,15,0)</f>
        <v>1</v>
      </c>
      <c r="W11" s="15"/>
      <c r="X11" s="15">
        <f t="shared" si="11"/>
        <v>718</v>
      </c>
    </row>
    <row r="12" spans="1:24" ht="18" customHeight="1" x14ac:dyDescent="0.25">
      <c r="A12" s="118">
        <f t="shared" si="10"/>
        <v>7</v>
      </c>
      <c r="B12" s="177" t="s">
        <v>29</v>
      </c>
      <c r="C12" s="169">
        <f t="shared" si="0"/>
        <v>41</v>
      </c>
      <c r="D12" s="170">
        <f t="shared" si="1"/>
        <v>5.7103064066852366E-2</v>
      </c>
      <c r="E12" s="169">
        <f t="shared" si="2"/>
        <v>41</v>
      </c>
      <c r="F12" s="170">
        <f t="shared" si="3"/>
        <v>1</v>
      </c>
      <c r="G12" s="155">
        <f>(13+1)+4</f>
        <v>18</v>
      </c>
      <c r="H12" s="72">
        <f t="shared" si="4"/>
        <v>0.43902439024390244</v>
      </c>
      <c r="I12" s="75">
        <v>18</v>
      </c>
      <c r="J12" s="72">
        <f t="shared" si="5"/>
        <v>0.43902439024390244</v>
      </c>
      <c r="K12" s="77">
        <v>3</v>
      </c>
      <c r="L12" s="72">
        <f t="shared" si="6"/>
        <v>7.3170731707317069E-2</v>
      </c>
      <c r="M12" s="78">
        <v>1</v>
      </c>
      <c r="N12" s="72">
        <f t="shared" si="7"/>
        <v>2.4390243902439025E-2</v>
      </c>
      <c r="O12" s="79">
        <v>1</v>
      </c>
      <c r="P12" s="157">
        <f t="shared" si="8"/>
        <v>2.4390243902439025E-2</v>
      </c>
      <c r="Q12" s="144">
        <v>0</v>
      </c>
      <c r="R12" s="139">
        <f t="shared" si="9"/>
        <v>0</v>
      </c>
      <c r="S12" s="15">
        <f>VLOOKUP(B12,'[2]Кўриб чикиш муддати'!$B$6:$F$26,5,0)</f>
        <v>4</v>
      </c>
      <c r="T12" s="15">
        <f>VLOOKUP(B12,'[2]Кўриб чикиш муддати'!$B$6:$H$26,7,0)</f>
        <v>1</v>
      </c>
      <c r="U12" s="15">
        <f>VLOOKUP(B12,'[2]Кўриб чикиш муддати'!$B$6:$J$26,9,0)</f>
        <v>2</v>
      </c>
      <c r="V12" s="15">
        <f>VLOOKUP(B12,'[2]Кўриб чикиш муддати'!$B$6:$P$26,15,0)</f>
        <v>0</v>
      </c>
      <c r="W12" s="15"/>
      <c r="X12" s="15">
        <f t="shared" si="11"/>
        <v>718</v>
      </c>
    </row>
    <row r="13" spans="1:24" ht="18" customHeight="1" x14ac:dyDescent="0.25">
      <c r="A13" s="118">
        <f t="shared" si="10"/>
        <v>8</v>
      </c>
      <c r="B13" s="177" t="s">
        <v>7</v>
      </c>
      <c r="C13" s="169">
        <f t="shared" si="0"/>
        <v>32</v>
      </c>
      <c r="D13" s="170">
        <f t="shared" si="1"/>
        <v>4.456824512534819E-2</v>
      </c>
      <c r="E13" s="169">
        <f t="shared" si="2"/>
        <v>32</v>
      </c>
      <c r="F13" s="170">
        <f t="shared" si="3"/>
        <v>1</v>
      </c>
      <c r="G13" s="155">
        <f>(8+2)+0</f>
        <v>10</v>
      </c>
      <c r="H13" s="72">
        <f t="shared" si="4"/>
        <v>0.3125</v>
      </c>
      <c r="I13" s="75">
        <f>((((10+1)+3)+2+1)+0)+0</f>
        <v>17</v>
      </c>
      <c r="J13" s="72">
        <f t="shared" si="5"/>
        <v>0.53125</v>
      </c>
      <c r="K13" s="77">
        <v>4</v>
      </c>
      <c r="L13" s="72">
        <f t="shared" si="6"/>
        <v>0.125</v>
      </c>
      <c r="M13" s="78">
        <v>1</v>
      </c>
      <c r="N13" s="72">
        <f t="shared" si="7"/>
        <v>3.125E-2</v>
      </c>
      <c r="O13" s="73">
        <v>0</v>
      </c>
      <c r="P13" s="157">
        <f t="shared" si="8"/>
        <v>0</v>
      </c>
      <c r="Q13" s="144">
        <v>0</v>
      </c>
      <c r="R13" s="139">
        <f t="shared" si="9"/>
        <v>0</v>
      </c>
      <c r="S13" s="15">
        <f>VLOOKUP(B13,'[2]Кўриб чикиш муддати'!$B$6:$F$26,5,0)</f>
        <v>0</v>
      </c>
      <c r="T13" s="15">
        <f>VLOOKUP(B13,'[2]Кўриб чикиш муддати'!$B$6:$H$26,7,0)</f>
        <v>0</v>
      </c>
      <c r="U13" s="15">
        <f>VLOOKUP(B13,'[2]Кўриб чикиш муддати'!$B$6:$J$26,9,0)</f>
        <v>1</v>
      </c>
      <c r="V13" s="15">
        <f>VLOOKUP(B13,'[2]Кўриб чикиш муддати'!$B$6:$P$26,15,0)</f>
        <v>0</v>
      </c>
      <c r="W13" s="15"/>
      <c r="X13" s="15">
        <f t="shared" si="11"/>
        <v>718</v>
      </c>
    </row>
    <row r="14" spans="1:24" ht="18" customHeight="1" x14ac:dyDescent="0.25">
      <c r="A14" s="118">
        <f t="shared" si="10"/>
        <v>9</v>
      </c>
      <c r="B14" s="177" t="s">
        <v>84</v>
      </c>
      <c r="C14" s="169">
        <f t="shared" si="0"/>
        <v>31</v>
      </c>
      <c r="D14" s="170">
        <f t="shared" si="1"/>
        <v>4.3175487465181059E-2</v>
      </c>
      <c r="E14" s="169">
        <f t="shared" si="2"/>
        <v>31</v>
      </c>
      <c r="F14" s="170">
        <f t="shared" si="3"/>
        <v>1</v>
      </c>
      <c r="G14" s="155">
        <v>3</v>
      </c>
      <c r="H14" s="72">
        <f t="shared" si="4"/>
        <v>9.6774193548387094E-2</v>
      </c>
      <c r="I14" s="75">
        <v>16</v>
      </c>
      <c r="J14" s="72">
        <f t="shared" si="5"/>
        <v>0.5161290322580645</v>
      </c>
      <c r="K14" s="77">
        <f>(((4+1)+1)+1)+0</f>
        <v>7</v>
      </c>
      <c r="L14" s="72">
        <f t="shared" si="6"/>
        <v>0.22580645161290322</v>
      </c>
      <c r="M14" s="78">
        <f>((4+1)+0)+0</f>
        <v>5</v>
      </c>
      <c r="N14" s="72">
        <f t="shared" si="7"/>
        <v>0.16129032258064516</v>
      </c>
      <c r="O14" s="73">
        <v>0</v>
      </c>
      <c r="P14" s="157">
        <f t="shared" si="8"/>
        <v>0</v>
      </c>
      <c r="Q14" s="144">
        <v>0</v>
      </c>
      <c r="R14" s="139">
        <f t="shared" si="9"/>
        <v>0</v>
      </c>
      <c r="S14" s="15">
        <f>VLOOKUP(B14,'[2]Кўриб чикиш муддати'!$B$6:$F$26,5,0)</f>
        <v>0</v>
      </c>
      <c r="T14" s="15">
        <f>VLOOKUP(B14,'[2]Кўриб чикиш муддати'!$B$6:$H$26,7,0)</f>
        <v>2</v>
      </c>
      <c r="U14" s="15">
        <f>VLOOKUP(B14,'[2]Кўриб чикиш муддати'!$B$6:$J$26,9,0)</f>
        <v>0</v>
      </c>
      <c r="V14" s="15">
        <f>VLOOKUP(B14,'[2]Кўриб чикиш муддати'!$B$6:$P$26,15,0)</f>
        <v>0</v>
      </c>
      <c r="W14" s="15"/>
      <c r="X14" s="15">
        <f t="shared" si="11"/>
        <v>718</v>
      </c>
    </row>
    <row r="15" spans="1:24" ht="18" customHeight="1" x14ac:dyDescent="0.25">
      <c r="A15" s="118">
        <f t="shared" si="10"/>
        <v>10</v>
      </c>
      <c r="B15" s="177" t="s">
        <v>86</v>
      </c>
      <c r="C15" s="169">
        <f t="shared" si="0"/>
        <v>25</v>
      </c>
      <c r="D15" s="170">
        <f t="shared" si="1"/>
        <v>3.4818941504178275E-2</v>
      </c>
      <c r="E15" s="169">
        <f t="shared" si="2"/>
        <v>25</v>
      </c>
      <c r="F15" s="170">
        <f t="shared" si="3"/>
        <v>1</v>
      </c>
      <c r="G15" s="155">
        <v>6</v>
      </c>
      <c r="H15" s="72">
        <f t="shared" si="4"/>
        <v>0.24</v>
      </c>
      <c r="I15" s="75">
        <v>11</v>
      </c>
      <c r="J15" s="72">
        <f t="shared" si="5"/>
        <v>0.44</v>
      </c>
      <c r="K15" s="77">
        <v>5</v>
      </c>
      <c r="L15" s="72">
        <f t="shared" si="6"/>
        <v>0.2</v>
      </c>
      <c r="M15" s="78">
        <v>2</v>
      </c>
      <c r="N15" s="72">
        <f t="shared" si="7"/>
        <v>0.08</v>
      </c>
      <c r="O15" s="79">
        <v>1</v>
      </c>
      <c r="P15" s="157">
        <f t="shared" si="8"/>
        <v>0.04</v>
      </c>
      <c r="Q15" s="144">
        <v>0</v>
      </c>
      <c r="R15" s="139">
        <f t="shared" si="9"/>
        <v>0</v>
      </c>
      <c r="S15" s="15">
        <f>VLOOKUP(B15,'[2]Кўриб чикиш муддати'!$B$6:$F$26,5,0)</f>
        <v>0</v>
      </c>
      <c r="T15" s="15">
        <f>VLOOKUP(B15,'[2]Кўриб чикиш муддати'!$B$6:$H$26,7,0)</f>
        <v>1</v>
      </c>
      <c r="U15" s="15">
        <f>VLOOKUP(B15,'[2]Кўриб чикиш муддати'!$B$6:$J$26,9,0)</f>
        <v>2</v>
      </c>
      <c r="V15" s="15">
        <f>VLOOKUP(B15,'[2]Кўриб чикиш муддати'!$B$6:$P$26,15,0)</f>
        <v>0</v>
      </c>
      <c r="W15" s="15"/>
      <c r="X15" s="15">
        <f t="shared" si="11"/>
        <v>718</v>
      </c>
    </row>
    <row r="16" spans="1:24" ht="18" customHeight="1" x14ac:dyDescent="0.25">
      <c r="A16" s="118">
        <f t="shared" si="10"/>
        <v>11</v>
      </c>
      <c r="B16" s="177" t="s">
        <v>85</v>
      </c>
      <c r="C16" s="169">
        <f t="shared" si="0"/>
        <v>22</v>
      </c>
      <c r="D16" s="170">
        <f t="shared" si="1"/>
        <v>3.0640668523676879E-2</v>
      </c>
      <c r="E16" s="169">
        <f t="shared" si="2"/>
        <v>22</v>
      </c>
      <c r="F16" s="170">
        <f t="shared" si="3"/>
        <v>1</v>
      </c>
      <c r="G16" s="155">
        <v>3</v>
      </c>
      <c r="H16" s="72">
        <f t="shared" si="4"/>
        <v>0.13636363636363635</v>
      </c>
      <c r="I16" s="75">
        <f>((6+1)+0)+2</f>
        <v>9</v>
      </c>
      <c r="J16" s="72">
        <f t="shared" si="5"/>
        <v>0.40909090909090912</v>
      </c>
      <c r="K16" s="77">
        <v>6</v>
      </c>
      <c r="L16" s="72">
        <f t="shared" si="6"/>
        <v>0.27272727272727271</v>
      </c>
      <c r="M16" s="78">
        <v>4</v>
      </c>
      <c r="N16" s="72">
        <f t="shared" si="7"/>
        <v>0.18181818181818182</v>
      </c>
      <c r="O16" s="73">
        <v>0</v>
      </c>
      <c r="P16" s="157">
        <f t="shared" si="8"/>
        <v>0</v>
      </c>
      <c r="Q16" s="144">
        <v>0</v>
      </c>
      <c r="R16" s="139">
        <f t="shared" si="9"/>
        <v>0</v>
      </c>
      <c r="S16" s="15">
        <f>VLOOKUP(B16,'[2]Кўриб чикиш муддати'!$B$6:$F$26,5,0)</f>
        <v>0</v>
      </c>
      <c r="T16" s="15">
        <f>VLOOKUP(B16,'[2]Кўриб чикиш муддати'!$B$6:$H$26,7,0)</f>
        <v>2</v>
      </c>
      <c r="U16" s="15">
        <f>VLOOKUP(B16,'[2]Кўриб чикиш муддати'!$B$6:$J$26,9,0)</f>
        <v>0</v>
      </c>
      <c r="V16" s="15">
        <f>VLOOKUP(B16,'[2]Кўриб чикиш муддати'!$B$6:$P$26,15,0)</f>
        <v>0</v>
      </c>
      <c r="W16" s="15"/>
      <c r="X16" s="15">
        <f t="shared" si="11"/>
        <v>718</v>
      </c>
    </row>
    <row r="17" spans="1:24" ht="18" customHeight="1" x14ac:dyDescent="0.25">
      <c r="A17" s="118">
        <f t="shared" si="10"/>
        <v>12</v>
      </c>
      <c r="B17" s="177" t="s">
        <v>92</v>
      </c>
      <c r="C17" s="169">
        <f t="shared" si="0"/>
        <v>21</v>
      </c>
      <c r="D17" s="170">
        <f t="shared" si="1"/>
        <v>2.9247910863509748E-2</v>
      </c>
      <c r="E17" s="169">
        <f t="shared" si="2"/>
        <v>20</v>
      </c>
      <c r="F17" s="170">
        <f t="shared" si="3"/>
        <v>0.95238095238095233</v>
      </c>
      <c r="G17" s="155">
        <v>3</v>
      </c>
      <c r="H17" s="72">
        <f t="shared" si="4"/>
        <v>0.14285714285714285</v>
      </c>
      <c r="I17" s="75">
        <v>10</v>
      </c>
      <c r="J17" s="72">
        <f t="shared" si="5"/>
        <v>0.47619047619047616</v>
      </c>
      <c r="K17" s="77">
        <v>3</v>
      </c>
      <c r="L17" s="72">
        <f t="shared" si="6"/>
        <v>0.14285714285714285</v>
      </c>
      <c r="M17" s="78">
        <v>3</v>
      </c>
      <c r="N17" s="72">
        <f t="shared" si="7"/>
        <v>0.14285714285714285</v>
      </c>
      <c r="O17" s="79">
        <v>1</v>
      </c>
      <c r="P17" s="157">
        <f t="shared" si="8"/>
        <v>4.7619047619047616E-2</v>
      </c>
      <c r="Q17" s="143">
        <v>1</v>
      </c>
      <c r="R17" s="139">
        <f t="shared" si="9"/>
        <v>4.7619047619047616E-2</v>
      </c>
      <c r="S17" s="15">
        <f>VLOOKUP(B17,'[2]Кўриб чикиш муддати'!$B$6:$F$26,5,0)</f>
        <v>0</v>
      </c>
      <c r="T17" s="15">
        <f>VLOOKUP(B17,'[2]Кўриб чикиш муддати'!$B$6:$H$26,7,0)</f>
        <v>1</v>
      </c>
      <c r="U17" s="15">
        <f>VLOOKUP(B17,'[2]Кўриб чикиш муддати'!$B$6:$J$26,9,0)</f>
        <v>1</v>
      </c>
      <c r="V17" s="15">
        <f>VLOOKUP(B17,'[2]Кўриб чикиш муддати'!$B$6:$P$26,15,0)</f>
        <v>1</v>
      </c>
      <c r="W17" s="15"/>
      <c r="X17" s="15">
        <f t="shared" si="11"/>
        <v>718</v>
      </c>
    </row>
    <row r="18" spans="1:24" ht="18" customHeight="1" x14ac:dyDescent="0.25">
      <c r="A18" s="118">
        <f t="shared" si="10"/>
        <v>13</v>
      </c>
      <c r="B18" s="177" t="s">
        <v>89</v>
      </c>
      <c r="C18" s="169">
        <f t="shared" si="0"/>
        <v>21</v>
      </c>
      <c r="D18" s="170">
        <f t="shared" si="1"/>
        <v>2.9247910863509748E-2</v>
      </c>
      <c r="E18" s="169">
        <f t="shared" si="2"/>
        <v>20</v>
      </c>
      <c r="F18" s="170">
        <f t="shared" si="3"/>
        <v>0.95238095238095233</v>
      </c>
      <c r="G18" s="155">
        <f>(4-1)+1</f>
        <v>4</v>
      </c>
      <c r="H18" s="72">
        <f t="shared" si="4"/>
        <v>0.19047619047619047</v>
      </c>
      <c r="I18" s="75">
        <f>((9-2)+3)+1</f>
        <v>11</v>
      </c>
      <c r="J18" s="72">
        <f t="shared" si="5"/>
        <v>0.52380952380952384</v>
      </c>
      <c r="K18" s="77">
        <v>4</v>
      </c>
      <c r="L18" s="72">
        <f t="shared" si="6"/>
        <v>0.19047619047619047</v>
      </c>
      <c r="M18" s="78">
        <v>1</v>
      </c>
      <c r="N18" s="72">
        <f t="shared" si="7"/>
        <v>4.7619047619047616E-2</v>
      </c>
      <c r="O18" s="73">
        <v>0</v>
      </c>
      <c r="P18" s="157">
        <f t="shared" si="8"/>
        <v>0</v>
      </c>
      <c r="Q18" s="145">
        <v>1</v>
      </c>
      <c r="R18" s="139">
        <f t="shared" si="9"/>
        <v>4.7619047619047616E-2</v>
      </c>
      <c r="S18" s="15">
        <f>VLOOKUP(B18,'[2]Кўриб чикиш муддати'!$B$6:$F$26,5,0)</f>
        <v>1</v>
      </c>
      <c r="T18" s="15">
        <f>VLOOKUP(B18,'[2]Кўриб чикиш муддати'!$B$6:$H$26,7,0)</f>
        <v>1</v>
      </c>
      <c r="U18" s="15">
        <f>VLOOKUP(B18,'[2]Кўриб чикиш муддати'!$B$6:$J$26,9,0)</f>
        <v>2</v>
      </c>
      <c r="V18" s="15">
        <f>VLOOKUP(B18,'[2]Кўриб чикиш муддати'!$B$6:$P$26,15,0)</f>
        <v>1</v>
      </c>
      <c r="W18" s="15"/>
      <c r="X18" s="15">
        <f t="shared" si="11"/>
        <v>718</v>
      </c>
    </row>
    <row r="19" spans="1:24" ht="18" customHeight="1" x14ac:dyDescent="0.25">
      <c r="A19" s="118">
        <f t="shared" si="10"/>
        <v>14</v>
      </c>
      <c r="B19" s="177" t="s">
        <v>88</v>
      </c>
      <c r="C19" s="169">
        <f t="shared" si="0"/>
        <v>18</v>
      </c>
      <c r="D19" s="170">
        <f t="shared" si="1"/>
        <v>2.5069637883008356E-2</v>
      </c>
      <c r="E19" s="169">
        <f t="shared" si="2"/>
        <v>18</v>
      </c>
      <c r="F19" s="170">
        <f t="shared" si="3"/>
        <v>1</v>
      </c>
      <c r="G19" s="155">
        <v>1</v>
      </c>
      <c r="H19" s="72">
        <f t="shared" si="4"/>
        <v>5.5555555555555552E-2</v>
      </c>
      <c r="I19" s="75">
        <v>8</v>
      </c>
      <c r="J19" s="72">
        <f t="shared" si="5"/>
        <v>0.44444444444444442</v>
      </c>
      <c r="K19" s="77">
        <v>9</v>
      </c>
      <c r="L19" s="72">
        <f t="shared" si="6"/>
        <v>0.5</v>
      </c>
      <c r="M19" s="73">
        <v>0</v>
      </c>
      <c r="N19" s="72">
        <f t="shared" si="7"/>
        <v>0</v>
      </c>
      <c r="O19" s="73">
        <v>0</v>
      </c>
      <c r="P19" s="157">
        <f t="shared" si="8"/>
        <v>0</v>
      </c>
      <c r="Q19" s="144">
        <v>0</v>
      </c>
      <c r="R19" s="139">
        <f t="shared" si="9"/>
        <v>0</v>
      </c>
      <c r="S19" s="15">
        <f>VLOOKUP(B19,'[2]Кўриб чикиш муддати'!$B$6:$F$26,5,0)</f>
        <v>0</v>
      </c>
      <c r="T19" s="15">
        <f>VLOOKUP(B19,'[2]Кўриб чикиш муддати'!$B$6:$H$26,7,0)</f>
        <v>2</v>
      </c>
      <c r="U19" s="15">
        <f>VLOOKUP(B19,'[2]Кўриб чикиш муддати'!$B$6:$J$26,9,0)</f>
        <v>0</v>
      </c>
      <c r="V19" s="15">
        <f>VLOOKUP(B19,'[2]Кўриб чикиш муддати'!$B$6:$P$26,15,0)</f>
        <v>0</v>
      </c>
      <c r="W19" s="15"/>
      <c r="X19" s="15">
        <f t="shared" si="11"/>
        <v>718</v>
      </c>
    </row>
    <row r="20" spans="1:24" ht="18" customHeight="1" x14ac:dyDescent="0.25">
      <c r="A20" s="118">
        <f t="shared" si="10"/>
        <v>15</v>
      </c>
      <c r="B20" s="177" t="s">
        <v>87</v>
      </c>
      <c r="C20" s="169">
        <f t="shared" si="0"/>
        <v>16</v>
      </c>
      <c r="D20" s="170">
        <f t="shared" si="1"/>
        <v>2.2284122562674095E-2</v>
      </c>
      <c r="E20" s="169">
        <f t="shared" si="2"/>
        <v>16</v>
      </c>
      <c r="F20" s="170">
        <f t="shared" si="3"/>
        <v>1</v>
      </c>
      <c r="G20" s="158">
        <v>5</v>
      </c>
      <c r="H20" s="72">
        <f t="shared" si="4"/>
        <v>0.3125</v>
      </c>
      <c r="I20" s="75">
        <v>9</v>
      </c>
      <c r="J20" s="72">
        <f t="shared" si="5"/>
        <v>0.5625</v>
      </c>
      <c r="K20" s="73">
        <v>0</v>
      </c>
      <c r="L20" s="72">
        <f t="shared" si="6"/>
        <v>0</v>
      </c>
      <c r="M20" s="78">
        <v>2</v>
      </c>
      <c r="N20" s="72">
        <f t="shared" si="7"/>
        <v>0.125</v>
      </c>
      <c r="O20" s="73">
        <v>0</v>
      </c>
      <c r="P20" s="157">
        <f t="shared" si="8"/>
        <v>0</v>
      </c>
      <c r="Q20" s="146">
        <v>0</v>
      </c>
      <c r="R20" s="139">
        <f t="shared" si="9"/>
        <v>0</v>
      </c>
      <c r="S20" s="15">
        <f>VLOOKUP(B20,'[2]Кўриб чикиш муддати'!$B$6:$F$26,5,0)</f>
        <v>0</v>
      </c>
      <c r="T20" s="15">
        <f>VLOOKUP(B20,'[2]Кўриб чикиш муддати'!$B$6:$H$26,7,0)</f>
        <v>0</v>
      </c>
      <c r="U20" s="15">
        <f>VLOOKUP(B20,'[2]Кўриб чикиш муддати'!$B$6:$J$26,9,0)</f>
        <v>0</v>
      </c>
      <c r="V20" s="15">
        <f>VLOOKUP(B20,'[2]Кўриб чикиш муддати'!$B$6:$P$26,15,0)</f>
        <v>0</v>
      </c>
      <c r="W20" s="15"/>
      <c r="X20" s="15">
        <f t="shared" si="11"/>
        <v>718</v>
      </c>
    </row>
    <row r="21" spans="1:24" ht="18" customHeight="1" x14ac:dyDescent="0.25">
      <c r="A21" s="118">
        <f t="shared" si="10"/>
        <v>16</v>
      </c>
      <c r="B21" s="177" t="s">
        <v>90</v>
      </c>
      <c r="C21" s="169">
        <f t="shared" si="0"/>
        <v>13</v>
      </c>
      <c r="D21" s="170">
        <f t="shared" si="1"/>
        <v>1.8105849582172703E-2</v>
      </c>
      <c r="E21" s="169">
        <f t="shared" si="2"/>
        <v>13</v>
      </c>
      <c r="F21" s="170">
        <f t="shared" si="3"/>
        <v>1</v>
      </c>
      <c r="G21" s="146">
        <v>0</v>
      </c>
      <c r="H21" s="72">
        <f t="shared" si="4"/>
        <v>0</v>
      </c>
      <c r="I21" s="75">
        <f>((9-2)+2)+0</f>
        <v>9</v>
      </c>
      <c r="J21" s="72">
        <f t="shared" si="5"/>
        <v>0.69230769230769229</v>
      </c>
      <c r="K21" s="77">
        <v>3</v>
      </c>
      <c r="L21" s="72">
        <f t="shared" si="6"/>
        <v>0.23076923076923078</v>
      </c>
      <c r="M21" s="78">
        <v>1</v>
      </c>
      <c r="N21" s="72">
        <f t="shared" si="7"/>
        <v>7.6923076923076927E-2</v>
      </c>
      <c r="O21" s="73">
        <v>0</v>
      </c>
      <c r="P21" s="157">
        <f t="shared" si="8"/>
        <v>0</v>
      </c>
      <c r="Q21" s="144">
        <v>0</v>
      </c>
      <c r="R21" s="139">
        <f t="shared" si="9"/>
        <v>0</v>
      </c>
      <c r="S21" s="15">
        <f>VLOOKUP(B21,'[2]Кўриб чикиш муддати'!$B$6:$F$26,5,0)</f>
        <v>0</v>
      </c>
      <c r="T21" s="15">
        <f>VLOOKUP(B21,'[2]Кўриб чикиш муддати'!$B$6:$H$26,7,0)</f>
        <v>0</v>
      </c>
      <c r="U21" s="15">
        <f>VLOOKUP(B21,'[2]Кўриб чикиш муддати'!$B$6:$J$26,9,0)</f>
        <v>1</v>
      </c>
      <c r="V21" s="15">
        <f>VLOOKUP(B21,'[2]Кўриб чикиш муддати'!$B$6:$P$26,15,0)</f>
        <v>0</v>
      </c>
      <c r="W21" s="15"/>
      <c r="X21" s="15">
        <f t="shared" si="11"/>
        <v>718</v>
      </c>
    </row>
    <row r="22" spans="1:24" ht="18" customHeight="1" x14ac:dyDescent="0.25">
      <c r="A22" s="118">
        <f t="shared" si="10"/>
        <v>17</v>
      </c>
      <c r="B22" s="177" t="s">
        <v>74</v>
      </c>
      <c r="C22" s="169">
        <f t="shared" si="0"/>
        <v>13</v>
      </c>
      <c r="D22" s="170">
        <f t="shared" si="1"/>
        <v>1.8105849582172703E-2</v>
      </c>
      <c r="E22" s="169">
        <f t="shared" si="2"/>
        <v>13</v>
      </c>
      <c r="F22" s="170">
        <f t="shared" si="3"/>
        <v>1</v>
      </c>
      <c r="G22" s="155">
        <v>5</v>
      </c>
      <c r="H22" s="72">
        <f t="shared" si="4"/>
        <v>0.38461538461538464</v>
      </c>
      <c r="I22" s="75">
        <f>((2+1)+0)+1</f>
        <v>4</v>
      </c>
      <c r="J22" s="72">
        <f t="shared" si="5"/>
        <v>0.30769230769230771</v>
      </c>
      <c r="K22" s="77">
        <v>4</v>
      </c>
      <c r="L22" s="72">
        <f t="shared" si="6"/>
        <v>0.30769230769230771</v>
      </c>
      <c r="M22" s="73">
        <v>0</v>
      </c>
      <c r="N22" s="72">
        <f t="shared" si="7"/>
        <v>0</v>
      </c>
      <c r="O22" s="73">
        <v>0</v>
      </c>
      <c r="P22" s="157">
        <f t="shared" si="8"/>
        <v>0</v>
      </c>
      <c r="Q22" s="144">
        <v>0</v>
      </c>
      <c r="R22" s="139">
        <f t="shared" si="9"/>
        <v>0</v>
      </c>
      <c r="S22" s="15">
        <f>VLOOKUP(B22,'[2]Кўриб чикиш муддати'!$B$6:$F$26,5,0)</f>
        <v>0</v>
      </c>
      <c r="T22" s="15">
        <f>VLOOKUP(B22,'[2]Кўриб чикиш муддати'!$B$6:$H$26,7,0)</f>
        <v>1</v>
      </c>
      <c r="U22" s="15">
        <f>VLOOKUP(B22,'[2]Кўриб чикиш муддати'!$B$6:$J$26,9,0)</f>
        <v>0</v>
      </c>
      <c r="V22" s="15">
        <f>VLOOKUP(B22,'[2]Кўриб чикиш муддати'!$B$6:$P$26,15,0)</f>
        <v>0</v>
      </c>
      <c r="W22" s="15"/>
      <c r="X22" s="15">
        <f t="shared" si="11"/>
        <v>718</v>
      </c>
    </row>
    <row r="23" spans="1:24" ht="18" customHeight="1" x14ac:dyDescent="0.25">
      <c r="A23" s="118">
        <f t="shared" si="10"/>
        <v>18</v>
      </c>
      <c r="B23" s="178" t="s">
        <v>91</v>
      </c>
      <c r="C23" s="169">
        <f t="shared" si="0"/>
        <v>11</v>
      </c>
      <c r="D23" s="170">
        <f t="shared" si="1"/>
        <v>1.532033426183844E-2</v>
      </c>
      <c r="E23" s="169">
        <f t="shared" si="2"/>
        <v>11</v>
      </c>
      <c r="F23" s="170">
        <f t="shared" si="3"/>
        <v>1</v>
      </c>
      <c r="G23" s="155">
        <v>3</v>
      </c>
      <c r="H23" s="72">
        <f t="shared" si="4"/>
        <v>0.27272727272727271</v>
      </c>
      <c r="I23" s="75">
        <f>((((2+1)+0)+1+1)+0)+0</f>
        <v>5</v>
      </c>
      <c r="J23" s="72">
        <f t="shared" si="5"/>
        <v>0.45454545454545453</v>
      </c>
      <c r="K23" s="77">
        <v>3</v>
      </c>
      <c r="L23" s="72">
        <f t="shared" si="6"/>
        <v>0.27272727272727271</v>
      </c>
      <c r="M23" s="73">
        <v>0</v>
      </c>
      <c r="N23" s="72">
        <f t="shared" si="7"/>
        <v>0</v>
      </c>
      <c r="O23" s="73">
        <v>0</v>
      </c>
      <c r="P23" s="157">
        <f t="shared" si="8"/>
        <v>0</v>
      </c>
      <c r="Q23" s="144">
        <v>0</v>
      </c>
      <c r="R23" s="139">
        <f t="shared" si="9"/>
        <v>0</v>
      </c>
      <c r="S23" s="15">
        <f>VLOOKUP(B23,'[2]Кўриб чикиш муддати'!$B$6:$F$26,5,0)</f>
        <v>0</v>
      </c>
      <c r="T23" s="15">
        <f>VLOOKUP(B23,'[2]Кўриб чикиш муддати'!$B$6:$H$26,7,0)</f>
        <v>0</v>
      </c>
      <c r="U23" s="15">
        <f>VLOOKUP(B23,'[2]Кўриб чикиш муддати'!$B$6:$J$26,9,0)</f>
        <v>0</v>
      </c>
      <c r="V23" s="15">
        <f>VLOOKUP(B23,'[2]Кўриб чикиш муддати'!$B$6:$P$26,15,0)</f>
        <v>0</v>
      </c>
      <c r="W23" s="15"/>
      <c r="X23" s="15">
        <f t="shared" si="11"/>
        <v>718</v>
      </c>
    </row>
    <row r="24" spans="1:24" ht="18" customHeight="1" x14ac:dyDescent="0.25">
      <c r="A24" s="118">
        <f t="shared" si="10"/>
        <v>19</v>
      </c>
      <c r="B24" s="177" t="s">
        <v>28</v>
      </c>
      <c r="C24" s="169">
        <f t="shared" si="0"/>
        <v>11</v>
      </c>
      <c r="D24" s="170">
        <f t="shared" si="1"/>
        <v>1.532033426183844E-2</v>
      </c>
      <c r="E24" s="169">
        <f t="shared" si="2"/>
        <v>11</v>
      </c>
      <c r="F24" s="170">
        <f t="shared" si="3"/>
        <v>1</v>
      </c>
      <c r="G24" s="155">
        <v>3</v>
      </c>
      <c r="H24" s="72">
        <f t="shared" si="4"/>
        <v>0.27272727272727271</v>
      </c>
      <c r="I24" s="75">
        <v>3</v>
      </c>
      <c r="J24" s="72">
        <f t="shared" si="5"/>
        <v>0.27272727272727271</v>
      </c>
      <c r="K24" s="77">
        <v>3</v>
      </c>
      <c r="L24" s="72">
        <f t="shared" si="6"/>
        <v>0.27272727272727271</v>
      </c>
      <c r="M24" s="78">
        <v>1</v>
      </c>
      <c r="N24" s="72">
        <f t="shared" si="7"/>
        <v>9.0909090909090912E-2</v>
      </c>
      <c r="O24" s="79">
        <v>1</v>
      </c>
      <c r="P24" s="157">
        <f t="shared" si="8"/>
        <v>9.0909090909090912E-2</v>
      </c>
      <c r="Q24" s="144">
        <v>0</v>
      </c>
      <c r="R24" s="139">
        <f t="shared" si="9"/>
        <v>0</v>
      </c>
      <c r="S24" s="15">
        <f>VLOOKUP(B24,'[2]Кўриб чикиш муддати'!$B$6:$F$26,5,0)</f>
        <v>1</v>
      </c>
      <c r="T24" s="15">
        <f>VLOOKUP(B24,'[2]Кўриб чикиш муддати'!$B$6:$H$26,7,0)</f>
        <v>1</v>
      </c>
      <c r="U24" s="15">
        <f>VLOOKUP(B24,'[2]Кўриб чикиш муддати'!$B$6:$J$26,9,0)</f>
        <v>1</v>
      </c>
      <c r="V24" s="15">
        <f>VLOOKUP(B24,'[2]Кўриб чикиш муддати'!$B$6:$P$26,15,0)</f>
        <v>0</v>
      </c>
      <c r="W24" s="15"/>
      <c r="X24" s="15">
        <f t="shared" si="11"/>
        <v>718</v>
      </c>
    </row>
    <row r="25" spans="1:24" ht="18" customHeight="1" x14ac:dyDescent="0.25">
      <c r="A25" s="118">
        <f t="shared" si="10"/>
        <v>20</v>
      </c>
      <c r="B25" s="177" t="s">
        <v>93</v>
      </c>
      <c r="C25" s="169">
        <f t="shared" si="0"/>
        <v>9</v>
      </c>
      <c r="D25" s="170">
        <f t="shared" si="1"/>
        <v>1.2534818941504178E-2</v>
      </c>
      <c r="E25" s="169">
        <f t="shared" si="2"/>
        <v>9</v>
      </c>
      <c r="F25" s="170">
        <f t="shared" si="3"/>
        <v>1</v>
      </c>
      <c r="G25" s="155">
        <v>1</v>
      </c>
      <c r="H25" s="72">
        <f t="shared" si="4"/>
        <v>0.1111111111111111</v>
      </c>
      <c r="I25" s="75">
        <v>2</v>
      </c>
      <c r="J25" s="72">
        <f t="shared" si="5"/>
        <v>0.22222222222222221</v>
      </c>
      <c r="K25" s="77">
        <v>4</v>
      </c>
      <c r="L25" s="72">
        <f t="shared" si="6"/>
        <v>0.44444444444444442</v>
      </c>
      <c r="M25" s="78">
        <v>1</v>
      </c>
      <c r="N25" s="72">
        <f t="shared" si="7"/>
        <v>0.1111111111111111</v>
      </c>
      <c r="O25" s="79">
        <v>1</v>
      </c>
      <c r="P25" s="157">
        <f t="shared" si="8"/>
        <v>0.1111111111111111</v>
      </c>
      <c r="Q25" s="144">
        <v>0</v>
      </c>
      <c r="R25" s="139">
        <f t="shared" si="9"/>
        <v>0</v>
      </c>
      <c r="S25" s="15">
        <f>VLOOKUP(B25,'[2]Кўриб чикиш муддати'!$B$6:$F$26,5,0)</f>
        <v>0</v>
      </c>
      <c r="T25" s="15">
        <f>VLOOKUP(B25,'[2]Кўриб чикиш муддати'!$B$6:$H$26,7,0)</f>
        <v>1</v>
      </c>
      <c r="U25" s="15">
        <f>VLOOKUP(B25,'[2]Кўриб чикиш муддати'!$B$6:$J$26,9,0)</f>
        <v>0</v>
      </c>
      <c r="V25" s="15">
        <f>VLOOKUP(B25,'[2]Кўриб чикиш муддати'!$B$6:$P$26,15,0)</f>
        <v>0</v>
      </c>
      <c r="W25" s="15"/>
      <c r="X25" s="15">
        <f t="shared" si="11"/>
        <v>718</v>
      </c>
    </row>
    <row r="26" spans="1:24" ht="18" customHeight="1" thickBot="1" x14ac:dyDescent="0.3">
      <c r="A26" s="118">
        <f t="shared" si="10"/>
        <v>21</v>
      </c>
      <c r="B26" s="179" t="s">
        <v>94</v>
      </c>
      <c r="C26" s="171">
        <f t="shared" si="0"/>
        <v>3</v>
      </c>
      <c r="D26" s="172">
        <f t="shared" si="1"/>
        <v>4.178272980501393E-3</v>
      </c>
      <c r="E26" s="171">
        <f t="shared" si="2"/>
        <v>3</v>
      </c>
      <c r="F26" s="170">
        <f t="shared" si="3"/>
        <v>1</v>
      </c>
      <c r="G26" s="159">
        <v>1</v>
      </c>
      <c r="H26" s="72">
        <f t="shared" si="4"/>
        <v>0.33333333333333331</v>
      </c>
      <c r="I26" s="161">
        <v>2</v>
      </c>
      <c r="J26" s="72">
        <f t="shared" si="5"/>
        <v>0.66666666666666663</v>
      </c>
      <c r="K26" s="162">
        <v>0</v>
      </c>
      <c r="L26" s="160">
        <v>0</v>
      </c>
      <c r="M26" s="162">
        <v>0</v>
      </c>
      <c r="N26" s="160">
        <v>0</v>
      </c>
      <c r="O26" s="162">
        <v>0</v>
      </c>
      <c r="P26" s="163">
        <v>0</v>
      </c>
      <c r="Q26" s="147">
        <v>0</v>
      </c>
      <c r="R26" s="148">
        <v>0</v>
      </c>
      <c r="S26" s="15">
        <f>VLOOKUP(B26,'[2]Кўриб чикиш муддати'!$B$6:$F$26,5,0)</f>
        <v>0</v>
      </c>
      <c r="T26" s="15">
        <f>VLOOKUP(B26,'[2]Кўриб чикиш муддати'!$B$6:$H$26,7,0)</f>
        <v>0</v>
      </c>
      <c r="U26" s="15">
        <f>VLOOKUP(B26,'[2]Кўриб чикиш муддати'!$B$6:$J$26,9,0)</f>
        <v>0</v>
      </c>
      <c r="V26" s="15">
        <f>VLOOKUP(B26,'[2]Кўриб чикиш муддати'!$B$6:$P$26,15,0)</f>
        <v>0</v>
      </c>
      <c r="W26" s="15"/>
      <c r="X26" s="15">
        <f t="shared" si="11"/>
        <v>718</v>
      </c>
    </row>
    <row r="27" spans="1:24" ht="16.5" thickBot="1" x14ac:dyDescent="0.3">
      <c r="A27" s="191" t="s">
        <v>14</v>
      </c>
      <c r="B27" s="192"/>
      <c r="C27" s="80">
        <f>SUM(C6:C26)</f>
        <v>718</v>
      </c>
      <c r="D27" s="54">
        <f t="shared" ref="D27" si="12">+C27/X27</f>
        <v>1</v>
      </c>
      <c r="E27" s="99">
        <f>SUM(E6:E26)</f>
        <v>709</v>
      </c>
      <c r="F27" s="46">
        <f>+E27/C27</f>
        <v>0.98746518105849579</v>
      </c>
      <c r="G27" s="99">
        <f>SUM(G6:G26)</f>
        <v>185</v>
      </c>
      <c r="H27" s="51">
        <f t="shared" ref="H27" si="13">+G27/C27</f>
        <v>0.25766016713091922</v>
      </c>
      <c r="I27" s="45">
        <f>SUM(I6:I26)</f>
        <v>320</v>
      </c>
      <c r="J27" s="51">
        <f t="shared" ref="J27" si="14">+I27/C27</f>
        <v>0.44568245125348188</v>
      </c>
      <c r="K27" s="45">
        <f>SUM(K6:K26)</f>
        <v>142</v>
      </c>
      <c r="L27" s="51">
        <f t="shared" ref="L27" si="15">+K27/C27</f>
        <v>0.1977715877437326</v>
      </c>
      <c r="M27" s="45">
        <f>SUM(M6:M26)</f>
        <v>52</v>
      </c>
      <c r="N27" s="51">
        <f>+M27/C27</f>
        <v>7.2423398328690811E-2</v>
      </c>
      <c r="O27" s="45">
        <f>SUM(O6:O26)</f>
        <v>10</v>
      </c>
      <c r="P27" s="48">
        <f t="shared" ref="P27" si="16">+O27/C27</f>
        <v>1.3927576601671309E-2</v>
      </c>
      <c r="Q27" s="99">
        <f>SUM(Q6:Q26)</f>
        <v>9</v>
      </c>
      <c r="R27" s="46">
        <f t="shared" ref="R27" si="17">+Q27/C27</f>
        <v>1.2534818941504178E-2</v>
      </c>
      <c r="S27" s="43">
        <f>SUM(S6:S26)</f>
        <v>11</v>
      </c>
      <c r="T27" s="45">
        <f>SUM(T6:T26)</f>
        <v>25</v>
      </c>
      <c r="U27" s="45">
        <f>SUM(U6:U26)</f>
        <v>17</v>
      </c>
      <c r="V27" s="45">
        <f>SUM(V6:V26)</f>
        <v>9</v>
      </c>
      <c r="W27" s="45">
        <f>SUM(W6:W26)</f>
        <v>0</v>
      </c>
      <c r="X27" s="15">
        <f t="shared" si="11"/>
        <v>718</v>
      </c>
    </row>
    <row r="28" spans="1:24" ht="15.75" thickBot="1" x14ac:dyDescent="0.3">
      <c r="A28" s="237" t="s">
        <v>59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9"/>
      <c r="X28" s="15">
        <f t="shared" ref="X28" si="18">+X27</f>
        <v>718</v>
      </c>
    </row>
    <row r="29" spans="1:24" ht="31.5" x14ac:dyDescent="0.25">
      <c r="A29" s="121">
        <v>1</v>
      </c>
      <c r="B29" s="183" t="s">
        <v>60</v>
      </c>
      <c r="C29" s="180">
        <f t="shared" ref="C29:C40" si="19">+E29+Q29</f>
        <v>274</v>
      </c>
      <c r="D29" s="166">
        <f t="shared" ref="D29:D40" si="20">+C29/X29</f>
        <v>0.38161559888579388</v>
      </c>
      <c r="E29" s="173">
        <f t="shared" ref="E29:E40" si="21">+G29+I29+K29+M29+O29</f>
        <v>271</v>
      </c>
      <c r="F29" s="166">
        <f t="shared" ref="F29:F40" si="22">+E29/C29</f>
        <v>0.98905109489051091</v>
      </c>
      <c r="G29" s="141">
        <f>(58+6+6)+4</f>
        <v>74</v>
      </c>
      <c r="H29" s="150">
        <f t="shared" ref="H29:H40" si="23">+G29/C29</f>
        <v>0.27007299270072993</v>
      </c>
      <c r="I29" s="153">
        <f>((74+12)+4)+12</f>
        <v>102</v>
      </c>
      <c r="J29" s="150">
        <f t="shared" ref="J29:J40" si="24">+I29/C29</f>
        <v>0.37226277372262773</v>
      </c>
      <c r="K29" s="152">
        <f>(58+6)+7</f>
        <v>71</v>
      </c>
      <c r="L29" s="150">
        <f t="shared" ref="L29:L40" si="25">+K29/C29</f>
        <v>0.25912408759124089</v>
      </c>
      <c r="M29" s="153">
        <f>16+1+1</f>
        <v>18</v>
      </c>
      <c r="N29" s="150">
        <f t="shared" ref="N29:N40" si="26">+M29/C29</f>
        <v>6.569343065693431E-2</v>
      </c>
      <c r="O29" s="153">
        <v>6</v>
      </c>
      <c r="P29" s="154">
        <f t="shared" ref="P29:P40" si="27">+O29/C29</f>
        <v>2.1897810218978103E-2</v>
      </c>
      <c r="Q29" s="141">
        <v>3</v>
      </c>
      <c r="R29" s="142">
        <f t="shared" ref="R29:R40" si="28">+Q29/C29</f>
        <v>1.0948905109489052E-2</v>
      </c>
      <c r="S29" s="15">
        <f>VLOOKUP(B29,'[2]Кўриб чикиш муддати'!$B$29:$F$40,5,0)</f>
        <v>4</v>
      </c>
      <c r="T29">
        <f>VLOOKUP(B29,'[2]Кўриб чикиш муддати'!$B$29:$H$40,7,0)</f>
        <v>12</v>
      </c>
      <c r="U29">
        <f>VLOOKUP(B29,'[2]Кўриб чикиш муддати'!$B$29:$J$40,9,0)</f>
        <v>7</v>
      </c>
      <c r="V29">
        <f>VLOOKUP(B29,'[2]Кўриб чикиш муддати'!$B$29:$P$40,15,0)</f>
        <v>3</v>
      </c>
      <c r="X29" s="15">
        <f t="shared" ref="X29:X39" si="29">+X28</f>
        <v>718</v>
      </c>
    </row>
    <row r="30" spans="1:24" ht="15.75" x14ac:dyDescent="0.25">
      <c r="A30" s="140">
        <f t="shared" ref="A30:A40" si="30">+A29+1</f>
        <v>2</v>
      </c>
      <c r="B30" s="184" t="s">
        <v>62</v>
      </c>
      <c r="C30" s="181">
        <f t="shared" si="19"/>
        <v>199</v>
      </c>
      <c r="D30" s="170">
        <f t="shared" si="20"/>
        <v>0.27715877437325903</v>
      </c>
      <c r="E30" s="174">
        <f t="shared" si="21"/>
        <v>197</v>
      </c>
      <c r="F30" s="170">
        <f t="shared" si="22"/>
        <v>0.98994974874371855</v>
      </c>
      <c r="G30" s="145">
        <f>(42+8)+1</f>
        <v>51</v>
      </c>
      <c r="H30" s="72">
        <f t="shared" si="23"/>
        <v>0.25628140703517588</v>
      </c>
      <c r="I30" s="79">
        <f>((71+14+3)+11)+7</f>
        <v>106</v>
      </c>
      <c r="J30" s="72">
        <f t="shared" si="24"/>
        <v>0.53266331658291455</v>
      </c>
      <c r="K30" s="77">
        <f>(21+3)+4</f>
        <v>28</v>
      </c>
      <c r="L30" s="72">
        <f t="shared" si="25"/>
        <v>0.1407035175879397</v>
      </c>
      <c r="M30" s="79">
        <f>6+1+1+3</f>
        <v>11</v>
      </c>
      <c r="N30" s="72">
        <f t="shared" si="26"/>
        <v>5.5276381909547742E-2</v>
      </c>
      <c r="O30" s="79">
        <v>1</v>
      </c>
      <c r="P30" s="157">
        <f t="shared" si="27"/>
        <v>5.0251256281407036E-3</v>
      </c>
      <c r="Q30" s="145">
        <v>2</v>
      </c>
      <c r="R30" s="139">
        <f t="shared" si="28"/>
        <v>1.0050251256281407E-2</v>
      </c>
      <c r="S30" s="15">
        <f>VLOOKUP(B30,'[2]Кўриб чикиш муддати'!$B$29:$F$40,5,0)</f>
        <v>1</v>
      </c>
      <c r="T30" s="15">
        <f>VLOOKUP(B30,'[2]Кўриб чикиш муддати'!$B$29:$H$40,7,0)</f>
        <v>7</v>
      </c>
      <c r="U30" s="15">
        <f>VLOOKUP(B30,'[2]Кўриб чикиш муддати'!$B$29:$J$40,9,0)</f>
        <v>4</v>
      </c>
      <c r="V30" s="15">
        <f>VLOOKUP(B30,'[2]Кўриб чикиш муддати'!$B$29:$P$40,15,0)</f>
        <v>2</v>
      </c>
      <c r="X30" s="15">
        <f t="shared" si="29"/>
        <v>718</v>
      </c>
    </row>
    <row r="31" spans="1:24" ht="63" x14ac:dyDescent="0.25">
      <c r="A31" s="140">
        <f t="shared" si="30"/>
        <v>3</v>
      </c>
      <c r="B31" s="184" t="s">
        <v>61</v>
      </c>
      <c r="C31" s="181">
        <f t="shared" si="19"/>
        <v>170</v>
      </c>
      <c r="D31" s="170">
        <f t="shared" si="20"/>
        <v>0.23676880222841226</v>
      </c>
      <c r="E31" s="174">
        <f t="shared" si="21"/>
        <v>167</v>
      </c>
      <c r="F31" s="170">
        <f t="shared" si="22"/>
        <v>0.98235294117647054</v>
      </c>
      <c r="G31" s="145">
        <f>(28+6+2)+4</f>
        <v>40</v>
      </c>
      <c r="H31" s="72">
        <f t="shared" si="23"/>
        <v>0.23529411764705882</v>
      </c>
      <c r="I31" s="79">
        <f>((47+18+5)+5)+6</f>
        <v>81</v>
      </c>
      <c r="J31" s="72">
        <f t="shared" si="24"/>
        <v>0.47647058823529409</v>
      </c>
      <c r="K31" s="77">
        <f>(17+1+3+4+2)+4</f>
        <v>31</v>
      </c>
      <c r="L31" s="72">
        <f t="shared" si="25"/>
        <v>0.18235294117647058</v>
      </c>
      <c r="M31" s="79">
        <f>12+1</f>
        <v>13</v>
      </c>
      <c r="N31" s="72">
        <f t="shared" si="26"/>
        <v>7.6470588235294124E-2</v>
      </c>
      <c r="O31" s="79">
        <v>2</v>
      </c>
      <c r="P31" s="157">
        <f t="shared" si="27"/>
        <v>1.1764705882352941E-2</v>
      </c>
      <c r="Q31" s="145">
        <v>3</v>
      </c>
      <c r="R31" s="139">
        <f t="shared" si="28"/>
        <v>1.7647058823529412E-2</v>
      </c>
      <c r="S31" s="15">
        <f>VLOOKUP(B31,'[2]Кўриб чикиш муддати'!$B$29:$F$40,5,0)</f>
        <v>4</v>
      </c>
      <c r="T31" s="15">
        <f>VLOOKUP(B31,'[2]Кўриб чикиш муддати'!$B$29:$H$40,7,0)</f>
        <v>6</v>
      </c>
      <c r="U31" s="15">
        <f>VLOOKUP(B31,'[2]Кўриб чикиш муддати'!$B$29:$J$40,9,0)</f>
        <v>4</v>
      </c>
      <c r="V31" s="15">
        <f>VLOOKUP(B31,'[2]Кўриб чикиш муддати'!$B$29:$P$40,15,0)</f>
        <v>3</v>
      </c>
      <c r="X31" s="15">
        <f t="shared" si="29"/>
        <v>718</v>
      </c>
    </row>
    <row r="32" spans="1:24" ht="31.5" x14ac:dyDescent="0.25">
      <c r="A32" s="140">
        <f t="shared" si="30"/>
        <v>4</v>
      </c>
      <c r="B32" s="184" t="s">
        <v>63</v>
      </c>
      <c r="C32" s="181">
        <f t="shared" si="19"/>
        <v>22</v>
      </c>
      <c r="D32" s="170">
        <f t="shared" si="20"/>
        <v>3.0640668523676879E-2</v>
      </c>
      <c r="E32" s="174">
        <f t="shared" si="21"/>
        <v>22</v>
      </c>
      <c r="F32" s="170">
        <f t="shared" si="22"/>
        <v>1</v>
      </c>
      <c r="G32" s="145">
        <f>((3+1)+1+1)+1</f>
        <v>7</v>
      </c>
      <c r="H32" s="72">
        <f t="shared" si="23"/>
        <v>0.31818181818181818</v>
      </c>
      <c r="I32" s="79">
        <v>7</v>
      </c>
      <c r="J32" s="72">
        <f t="shared" si="24"/>
        <v>0.31818181818181818</v>
      </c>
      <c r="K32" s="77">
        <v>4</v>
      </c>
      <c r="L32" s="72">
        <f t="shared" si="25"/>
        <v>0.18181818181818182</v>
      </c>
      <c r="M32" s="79">
        <f>2+1+1</f>
        <v>4</v>
      </c>
      <c r="N32" s="72">
        <f t="shared" si="26"/>
        <v>0.18181818181818182</v>
      </c>
      <c r="O32" s="73">
        <v>0</v>
      </c>
      <c r="P32" s="157">
        <f t="shared" si="27"/>
        <v>0</v>
      </c>
      <c r="Q32" s="144">
        <v>0</v>
      </c>
      <c r="R32" s="139">
        <f t="shared" si="28"/>
        <v>0</v>
      </c>
      <c r="S32" s="15">
        <f>VLOOKUP(B32,'[2]Кўриб чикиш муддати'!$B$29:$F$40,5,0)</f>
        <v>1</v>
      </c>
      <c r="T32" s="15">
        <f>VLOOKUP(B32,'[2]Кўриб чикиш муддати'!$B$29:$H$40,7,0)</f>
        <v>0</v>
      </c>
      <c r="U32" s="15">
        <f>VLOOKUP(B32,'[2]Кўриб чикиш муддати'!$B$29:$J$40,9,0)</f>
        <v>1</v>
      </c>
      <c r="V32" s="15">
        <f>VLOOKUP(B32,'[2]Кўриб чикиш муддати'!$B$29:$P$40,15,0)</f>
        <v>0</v>
      </c>
      <c r="X32" s="15">
        <f t="shared" si="29"/>
        <v>718</v>
      </c>
    </row>
    <row r="33" spans="1:24" ht="15.75" x14ac:dyDescent="0.25">
      <c r="A33" s="140">
        <f t="shared" si="30"/>
        <v>5</v>
      </c>
      <c r="B33" s="184" t="s">
        <v>65</v>
      </c>
      <c r="C33" s="181">
        <f t="shared" si="19"/>
        <v>20</v>
      </c>
      <c r="D33" s="170">
        <f t="shared" si="20"/>
        <v>2.7855153203342618E-2</v>
      </c>
      <c r="E33" s="174">
        <f t="shared" si="21"/>
        <v>20</v>
      </c>
      <c r="F33" s="170">
        <f t="shared" si="22"/>
        <v>1</v>
      </c>
      <c r="G33" s="145">
        <f>((1+2)+1)+1</f>
        <v>5</v>
      </c>
      <c r="H33" s="72">
        <f t="shared" si="23"/>
        <v>0.25</v>
      </c>
      <c r="I33" s="79">
        <f>((7+3)+2)+0</f>
        <v>12</v>
      </c>
      <c r="J33" s="72">
        <f t="shared" si="24"/>
        <v>0.6</v>
      </c>
      <c r="K33" s="73">
        <v>0</v>
      </c>
      <c r="L33" s="72">
        <f t="shared" si="25"/>
        <v>0</v>
      </c>
      <c r="M33" s="79">
        <v>2</v>
      </c>
      <c r="N33" s="72">
        <f t="shared" si="26"/>
        <v>0.1</v>
      </c>
      <c r="O33" s="79">
        <v>1</v>
      </c>
      <c r="P33" s="157">
        <f t="shared" si="27"/>
        <v>0.05</v>
      </c>
      <c r="Q33" s="144">
        <v>0</v>
      </c>
      <c r="R33" s="139">
        <f t="shared" si="28"/>
        <v>0</v>
      </c>
      <c r="S33" s="15">
        <f>VLOOKUP(B33,'[2]Кўриб чикиш муддати'!$B$29:$F$40,5,0)</f>
        <v>1</v>
      </c>
      <c r="T33" s="15">
        <f>VLOOKUP(B33,'[2]Кўриб чикиш муддати'!$B$29:$H$40,7,0)</f>
        <v>0</v>
      </c>
      <c r="U33" s="15">
        <f>VLOOKUP(B33,'[2]Кўриб чикиш муддати'!$B$29:$J$40,9,0)</f>
        <v>0</v>
      </c>
      <c r="V33" s="15">
        <f>VLOOKUP(B33,'[2]Кўриб чикиш муддати'!$B$29:$P$40,15,0)</f>
        <v>0</v>
      </c>
      <c r="X33" s="15">
        <f t="shared" si="29"/>
        <v>718</v>
      </c>
    </row>
    <row r="34" spans="1:24" ht="31.5" x14ac:dyDescent="0.25">
      <c r="A34" s="140">
        <f t="shared" si="30"/>
        <v>6</v>
      </c>
      <c r="B34" s="184" t="s">
        <v>66</v>
      </c>
      <c r="C34" s="181">
        <f t="shared" si="19"/>
        <v>8</v>
      </c>
      <c r="D34" s="170">
        <f t="shared" si="20"/>
        <v>1.1142061281337047E-2</v>
      </c>
      <c r="E34" s="174">
        <f t="shared" si="21"/>
        <v>7</v>
      </c>
      <c r="F34" s="170">
        <f t="shared" si="22"/>
        <v>0.875</v>
      </c>
      <c r="G34" s="144">
        <v>0</v>
      </c>
      <c r="H34" s="72">
        <f t="shared" si="23"/>
        <v>0</v>
      </c>
      <c r="I34" s="79">
        <v>3</v>
      </c>
      <c r="J34" s="72">
        <f t="shared" si="24"/>
        <v>0.375</v>
      </c>
      <c r="K34" s="77">
        <v>2</v>
      </c>
      <c r="L34" s="72">
        <f t="shared" si="25"/>
        <v>0.25</v>
      </c>
      <c r="M34" s="79">
        <v>2</v>
      </c>
      <c r="N34" s="72">
        <f t="shared" si="26"/>
        <v>0.25</v>
      </c>
      <c r="O34" s="73">
        <v>0</v>
      </c>
      <c r="P34" s="157">
        <f t="shared" si="27"/>
        <v>0</v>
      </c>
      <c r="Q34" s="145">
        <v>1</v>
      </c>
      <c r="R34" s="139">
        <f t="shared" si="28"/>
        <v>0.125</v>
      </c>
      <c r="S34" s="15">
        <f>VLOOKUP(B34,'[2]Кўриб чикиш муддати'!$B$29:$F$40,5,0)</f>
        <v>0</v>
      </c>
      <c r="T34" s="15">
        <f>VLOOKUP(B34,'[2]Кўриб чикиш муддати'!$B$29:$H$40,7,0)</f>
        <v>0</v>
      </c>
      <c r="U34" s="15">
        <f>VLOOKUP(B34,'[2]Кўриб чикиш муддати'!$B$29:$J$40,9,0)</f>
        <v>1</v>
      </c>
      <c r="V34" s="15">
        <f>VLOOKUP(B34,'[2]Кўриб чикиш муддати'!$B$29:$P$40,15,0)</f>
        <v>1</v>
      </c>
      <c r="X34" s="15">
        <f t="shared" si="29"/>
        <v>718</v>
      </c>
    </row>
    <row r="35" spans="1:24" s="15" customFormat="1" ht="31.5" x14ac:dyDescent="0.25">
      <c r="A35" s="140">
        <f t="shared" si="30"/>
        <v>7</v>
      </c>
      <c r="B35" s="184" t="s">
        <v>64</v>
      </c>
      <c r="C35" s="181">
        <f t="shared" si="19"/>
        <v>7</v>
      </c>
      <c r="D35" s="170">
        <f t="shared" si="20"/>
        <v>9.7493036211699167E-3</v>
      </c>
      <c r="E35" s="174">
        <f t="shared" si="21"/>
        <v>7</v>
      </c>
      <c r="F35" s="170">
        <f t="shared" si="22"/>
        <v>1</v>
      </c>
      <c r="G35" s="145">
        <v>3</v>
      </c>
      <c r="H35" s="72">
        <f t="shared" si="23"/>
        <v>0.42857142857142855</v>
      </c>
      <c r="I35" s="79">
        <v>3</v>
      </c>
      <c r="J35" s="72">
        <f t="shared" si="24"/>
        <v>0.42857142857142855</v>
      </c>
      <c r="K35" s="73">
        <v>0</v>
      </c>
      <c r="L35" s="72">
        <f t="shared" si="25"/>
        <v>0</v>
      </c>
      <c r="M35" s="79">
        <v>1</v>
      </c>
      <c r="N35" s="72">
        <f t="shared" si="26"/>
        <v>0.14285714285714285</v>
      </c>
      <c r="O35" s="73">
        <v>0</v>
      </c>
      <c r="P35" s="157">
        <f t="shared" si="27"/>
        <v>0</v>
      </c>
      <c r="Q35" s="144">
        <v>0</v>
      </c>
      <c r="R35" s="139">
        <f t="shared" si="28"/>
        <v>0</v>
      </c>
      <c r="S35" s="15">
        <f>VLOOKUP(B35,'[2]Кўриб чикиш муддати'!$B$29:$F$40,5,0)</f>
        <v>0</v>
      </c>
      <c r="T35" s="15">
        <f>VLOOKUP(B35,'[2]Кўриб чикиш муддати'!$B$29:$H$40,7,0)</f>
        <v>0</v>
      </c>
      <c r="U35" s="15">
        <f>VLOOKUP(B35,'[2]Кўриб чикиш муддати'!$B$29:$J$40,9,0)</f>
        <v>0</v>
      </c>
      <c r="V35" s="15">
        <f>VLOOKUP(B35,'[2]Кўриб чикиш муддати'!$B$29:$P$40,15,0)</f>
        <v>0</v>
      </c>
      <c r="X35" s="15">
        <f t="shared" si="29"/>
        <v>718</v>
      </c>
    </row>
    <row r="36" spans="1:24" ht="15.75" x14ac:dyDescent="0.25">
      <c r="A36" s="140">
        <f t="shared" si="30"/>
        <v>8</v>
      </c>
      <c r="B36" s="184" t="s">
        <v>20</v>
      </c>
      <c r="C36" s="181">
        <f t="shared" si="19"/>
        <v>7</v>
      </c>
      <c r="D36" s="170">
        <f t="shared" si="20"/>
        <v>9.7493036211699167E-3</v>
      </c>
      <c r="E36" s="174">
        <f t="shared" si="21"/>
        <v>7</v>
      </c>
      <c r="F36" s="170">
        <f t="shared" si="22"/>
        <v>1</v>
      </c>
      <c r="G36" s="145">
        <v>2</v>
      </c>
      <c r="H36" s="72">
        <f t="shared" si="23"/>
        <v>0.2857142857142857</v>
      </c>
      <c r="I36" s="79">
        <v>3</v>
      </c>
      <c r="J36" s="72">
        <f t="shared" si="24"/>
        <v>0.42857142857142855</v>
      </c>
      <c r="K36" s="77">
        <v>2</v>
      </c>
      <c r="L36" s="72">
        <f t="shared" si="25"/>
        <v>0.2857142857142857</v>
      </c>
      <c r="M36" s="73">
        <v>0</v>
      </c>
      <c r="N36" s="72">
        <f t="shared" si="26"/>
        <v>0</v>
      </c>
      <c r="O36" s="73">
        <v>0</v>
      </c>
      <c r="P36" s="157">
        <f t="shared" si="27"/>
        <v>0</v>
      </c>
      <c r="Q36" s="144">
        <v>0</v>
      </c>
      <c r="R36" s="139">
        <f t="shared" si="28"/>
        <v>0</v>
      </c>
      <c r="S36" s="15">
        <f>VLOOKUP(B36,'[2]Кўриб чикиш муддати'!$B$29:$F$40,5,0)</f>
        <v>0</v>
      </c>
      <c r="T36" s="15">
        <f>VLOOKUP(B36,'[2]Кўриб чикиш муддати'!$B$29:$H$40,7,0)</f>
        <v>0</v>
      </c>
      <c r="U36" s="15">
        <f>VLOOKUP(B36,'[2]Кўриб чикиш муддати'!$B$29:$J$40,9,0)</f>
        <v>0</v>
      </c>
      <c r="V36" s="15">
        <f>VLOOKUP(B36,'[2]Кўриб чикиш муддати'!$B$29:$P$40,15,0)</f>
        <v>0</v>
      </c>
      <c r="X36" s="15">
        <f t="shared" si="29"/>
        <v>718</v>
      </c>
    </row>
    <row r="37" spans="1:24" ht="15.75" x14ac:dyDescent="0.25">
      <c r="A37" s="140">
        <f t="shared" si="30"/>
        <v>9</v>
      </c>
      <c r="B37" s="184" t="s">
        <v>67</v>
      </c>
      <c r="C37" s="181">
        <f t="shared" si="19"/>
        <v>5</v>
      </c>
      <c r="D37" s="170">
        <f t="shared" si="20"/>
        <v>6.9637883008356544E-3</v>
      </c>
      <c r="E37" s="174">
        <f t="shared" si="21"/>
        <v>5</v>
      </c>
      <c r="F37" s="170">
        <f t="shared" si="22"/>
        <v>1</v>
      </c>
      <c r="G37" s="145">
        <v>1</v>
      </c>
      <c r="H37" s="72">
        <f t="shared" si="23"/>
        <v>0.2</v>
      </c>
      <c r="I37" s="79">
        <v>1</v>
      </c>
      <c r="J37" s="72">
        <f t="shared" si="24"/>
        <v>0.2</v>
      </c>
      <c r="K37" s="77">
        <f>(1+1)+0</f>
        <v>2</v>
      </c>
      <c r="L37" s="72">
        <f t="shared" si="25"/>
        <v>0.4</v>
      </c>
      <c r="M37" s="79">
        <v>1</v>
      </c>
      <c r="N37" s="72">
        <f t="shared" si="26"/>
        <v>0.2</v>
      </c>
      <c r="O37" s="73">
        <v>0</v>
      </c>
      <c r="P37" s="157">
        <f t="shared" si="27"/>
        <v>0</v>
      </c>
      <c r="Q37" s="144">
        <v>0</v>
      </c>
      <c r="R37" s="139">
        <f t="shared" si="28"/>
        <v>0</v>
      </c>
      <c r="S37" s="15">
        <f>VLOOKUP(B37,'[2]Кўриб чикиш муддати'!$B$29:$F$40,5,0)</f>
        <v>0</v>
      </c>
      <c r="T37" s="15">
        <f>VLOOKUP(B37,'[2]Кўриб чикиш муддати'!$B$29:$H$40,7,0)</f>
        <v>0</v>
      </c>
      <c r="U37" s="15">
        <f>VLOOKUP(B37,'[2]Кўриб чикиш муддати'!$B$29:$J$40,9,0)</f>
        <v>0</v>
      </c>
      <c r="V37" s="15">
        <f>VLOOKUP(B37,'[2]Кўриб чикиш муддати'!$B$29:$P$40,15,0)</f>
        <v>0</v>
      </c>
      <c r="X37" s="15">
        <f t="shared" si="29"/>
        <v>718</v>
      </c>
    </row>
    <row r="38" spans="1:24" ht="31.5" x14ac:dyDescent="0.25">
      <c r="A38" s="140">
        <f t="shared" si="30"/>
        <v>10</v>
      </c>
      <c r="B38" s="185" t="s">
        <v>99</v>
      </c>
      <c r="C38" s="181">
        <f t="shared" si="19"/>
        <v>4</v>
      </c>
      <c r="D38" s="170">
        <f t="shared" si="20"/>
        <v>5.5710306406685237E-3</v>
      </c>
      <c r="E38" s="174">
        <f t="shared" si="21"/>
        <v>4</v>
      </c>
      <c r="F38" s="170">
        <f t="shared" si="22"/>
        <v>1</v>
      </c>
      <c r="G38" s="145">
        <v>2</v>
      </c>
      <c r="H38" s="72">
        <f t="shared" si="23"/>
        <v>0.5</v>
      </c>
      <c r="I38" s="79">
        <v>1</v>
      </c>
      <c r="J38" s="72">
        <f t="shared" si="24"/>
        <v>0.25</v>
      </c>
      <c r="K38" s="77">
        <v>1</v>
      </c>
      <c r="L38" s="72">
        <f t="shared" si="25"/>
        <v>0.25</v>
      </c>
      <c r="M38" s="73">
        <v>0</v>
      </c>
      <c r="N38" s="72">
        <f t="shared" si="26"/>
        <v>0</v>
      </c>
      <c r="O38" s="73">
        <v>0</v>
      </c>
      <c r="P38" s="157">
        <f t="shared" si="27"/>
        <v>0</v>
      </c>
      <c r="Q38" s="144">
        <v>0</v>
      </c>
      <c r="R38" s="139">
        <f t="shared" si="28"/>
        <v>0</v>
      </c>
      <c r="S38" s="15">
        <f>VLOOKUP(B38,'[2]Кўриб чикиш муддати'!$B$29:$F$40,5,0)</f>
        <v>0</v>
      </c>
      <c r="T38" s="15">
        <f>VLOOKUP(B38,'[2]Кўриб чикиш муддати'!$B$29:$H$40,7,0)</f>
        <v>0</v>
      </c>
      <c r="U38" s="15">
        <f>VLOOKUP(B38,'[2]Кўриб чикиш муддати'!$B$29:$J$40,9,0)</f>
        <v>0</v>
      </c>
      <c r="V38" s="15">
        <f>VLOOKUP(B38,'[2]Кўриб чикиш муддати'!$B$29:$P$40,15,0)</f>
        <v>0</v>
      </c>
      <c r="X38" s="15">
        <f t="shared" si="29"/>
        <v>718</v>
      </c>
    </row>
    <row r="39" spans="1:24" s="15" customFormat="1" ht="31.5" x14ac:dyDescent="0.25">
      <c r="A39" s="140">
        <f t="shared" si="30"/>
        <v>11</v>
      </c>
      <c r="B39" s="184" t="s">
        <v>95</v>
      </c>
      <c r="C39" s="181">
        <f t="shared" si="19"/>
        <v>1</v>
      </c>
      <c r="D39" s="170">
        <f t="shared" si="20"/>
        <v>1.3927576601671309E-3</v>
      </c>
      <c r="E39" s="174">
        <f t="shared" si="21"/>
        <v>1</v>
      </c>
      <c r="F39" s="170">
        <f t="shared" si="22"/>
        <v>1</v>
      </c>
      <c r="G39" s="144">
        <v>0</v>
      </c>
      <c r="H39" s="72">
        <f t="shared" si="23"/>
        <v>0</v>
      </c>
      <c r="I39" s="79">
        <v>1</v>
      </c>
      <c r="J39" s="72">
        <f t="shared" si="24"/>
        <v>1</v>
      </c>
      <c r="K39" s="73">
        <v>0</v>
      </c>
      <c r="L39" s="72">
        <f t="shared" si="25"/>
        <v>0</v>
      </c>
      <c r="M39" s="73">
        <v>0</v>
      </c>
      <c r="N39" s="72">
        <f t="shared" si="26"/>
        <v>0</v>
      </c>
      <c r="O39" s="73">
        <v>0</v>
      </c>
      <c r="P39" s="157">
        <f t="shared" si="27"/>
        <v>0</v>
      </c>
      <c r="Q39" s="144">
        <v>0</v>
      </c>
      <c r="R39" s="139">
        <f t="shared" si="28"/>
        <v>0</v>
      </c>
      <c r="S39" s="15">
        <f>VLOOKUP(B39,'[2]Кўриб чикиш муддати'!$B$29:$F$40,5,0)</f>
        <v>0</v>
      </c>
      <c r="T39" s="15">
        <f>VLOOKUP(B39,'[2]Кўриб чикиш муддати'!$B$29:$H$40,7,0)</f>
        <v>0</v>
      </c>
      <c r="U39" s="15">
        <f>VLOOKUP(B39,'[2]Кўриб чикиш муддати'!$B$29:$J$40,9,0)</f>
        <v>0</v>
      </c>
      <c r="V39" s="15">
        <f>VLOOKUP(B39,'[2]Кўриб чикиш муддати'!$B$29:$P$40,15,0)</f>
        <v>0</v>
      </c>
      <c r="X39" s="15">
        <f t="shared" si="29"/>
        <v>718</v>
      </c>
    </row>
    <row r="40" spans="1:24" s="15" customFormat="1" ht="16.5" thickBot="1" x14ac:dyDescent="0.3">
      <c r="A40" s="186">
        <f t="shared" si="30"/>
        <v>12</v>
      </c>
      <c r="B40" s="187" t="s">
        <v>108</v>
      </c>
      <c r="C40" s="182">
        <f t="shared" si="19"/>
        <v>1</v>
      </c>
      <c r="D40" s="172">
        <f t="shared" si="20"/>
        <v>1.3927576601671309E-3</v>
      </c>
      <c r="E40" s="175">
        <f t="shared" si="21"/>
        <v>1</v>
      </c>
      <c r="F40" s="172">
        <f t="shared" si="22"/>
        <v>1</v>
      </c>
      <c r="G40" s="147">
        <v>0</v>
      </c>
      <c r="H40" s="160">
        <f t="shared" si="23"/>
        <v>0</v>
      </c>
      <c r="I40" s="162">
        <v>0</v>
      </c>
      <c r="J40" s="160">
        <f t="shared" si="24"/>
        <v>0</v>
      </c>
      <c r="K40" s="164">
        <v>1</v>
      </c>
      <c r="L40" s="160">
        <f t="shared" si="25"/>
        <v>1</v>
      </c>
      <c r="M40" s="162">
        <v>0</v>
      </c>
      <c r="N40" s="160">
        <f t="shared" si="26"/>
        <v>0</v>
      </c>
      <c r="O40" s="162">
        <v>0</v>
      </c>
      <c r="P40" s="163">
        <f t="shared" si="27"/>
        <v>0</v>
      </c>
      <c r="Q40" s="147">
        <v>0</v>
      </c>
      <c r="R40" s="148">
        <f t="shared" si="28"/>
        <v>0</v>
      </c>
      <c r="S40" s="15">
        <f>VLOOKUP(B40,'[2]Кўриб чикиш муддати'!$B$29:$F$40,5,0)</f>
        <v>0</v>
      </c>
      <c r="T40" s="15">
        <f>VLOOKUP(B40,'[2]Кўриб чикиш муддати'!$B$29:$H$40,7,0)</f>
        <v>0</v>
      </c>
      <c r="U40" s="15">
        <f>VLOOKUP(B40,'[2]Кўриб чикиш муддати'!$B$29:$J$40,9,0)</f>
        <v>0</v>
      </c>
      <c r="V40" s="15">
        <f>VLOOKUP(B40,'[2]Кўриб чикиш муддати'!$B$29:$P$40,15,0)</f>
        <v>0</v>
      </c>
      <c r="X40" s="15">
        <f>+X38</f>
        <v>718</v>
      </c>
    </row>
    <row r="41" spans="1:24" ht="16.5" thickBot="1" x14ac:dyDescent="0.3">
      <c r="A41" s="259" t="s">
        <v>14</v>
      </c>
      <c r="B41" s="260"/>
      <c r="C41" s="41">
        <f>SUM(C29:C40)</f>
        <v>718</v>
      </c>
      <c r="D41" s="54">
        <f t="shared" ref="D41" si="31">+C41/X41</f>
        <v>1</v>
      </c>
      <c r="E41" s="99">
        <f>SUM(E29:E40)</f>
        <v>709</v>
      </c>
      <c r="F41" s="46">
        <f t="shared" ref="F41" si="32">+E41/C41</f>
        <v>0.98746518105849579</v>
      </c>
      <c r="G41" s="43">
        <f>SUM(G29:G40)</f>
        <v>185</v>
      </c>
      <c r="H41" s="51">
        <f t="shared" ref="H41" si="33">+G41/C41</f>
        <v>0.25766016713091922</v>
      </c>
      <c r="I41" s="45">
        <f>SUM(I29:I40)</f>
        <v>320</v>
      </c>
      <c r="J41" s="51">
        <f t="shared" ref="J41" si="34">+I41/C41</f>
        <v>0.44568245125348188</v>
      </c>
      <c r="K41" s="45">
        <f>SUM(K29:K40)</f>
        <v>142</v>
      </c>
      <c r="L41" s="51">
        <f t="shared" ref="L41" si="35">+K41/C41</f>
        <v>0.1977715877437326</v>
      </c>
      <c r="M41" s="45">
        <f>SUM(M29:M40)</f>
        <v>52</v>
      </c>
      <c r="N41" s="51">
        <f t="shared" ref="N41" si="36">+M41/C41</f>
        <v>7.2423398328690811E-2</v>
      </c>
      <c r="O41" s="45">
        <f>SUM(O29:O40)</f>
        <v>10</v>
      </c>
      <c r="P41" s="81">
        <f t="shared" ref="P41" si="37">+O41/C41</f>
        <v>1.3927576601671309E-2</v>
      </c>
      <c r="Q41" s="99">
        <f>SUM(Q29:Q40)</f>
        <v>9</v>
      </c>
      <c r="R41" s="46">
        <f t="shared" ref="R41" si="38">+Q41/C41</f>
        <v>1.2534818941504178E-2</v>
      </c>
      <c r="S41" s="43">
        <f>SUM(S29:S40)</f>
        <v>11</v>
      </c>
      <c r="T41" s="45">
        <f>SUM(T29:T40)</f>
        <v>25</v>
      </c>
      <c r="U41" s="45">
        <f>SUM(U29:U40)</f>
        <v>17</v>
      </c>
      <c r="V41" s="45">
        <f>SUM(V29:V40)</f>
        <v>9</v>
      </c>
      <c r="W41" s="45">
        <f>SUM(W29:W40)</f>
        <v>0</v>
      </c>
      <c r="X41" s="15">
        <f>+X40</f>
        <v>718</v>
      </c>
    </row>
  </sheetData>
  <autoFilter ref="A5:X5" xr:uid="{69E83E7C-A946-42C3-B9D1-77E3ED889246}">
    <sortState xmlns:xlrd2="http://schemas.microsoft.com/office/spreadsheetml/2017/richdata2" ref="A8:X26">
      <sortCondition descending="1" ref="C5"/>
    </sortState>
  </autoFilter>
  <mergeCells count="20">
    <mergeCell ref="D4:D5"/>
    <mergeCell ref="C3:D3"/>
    <mergeCell ref="F4:F5"/>
    <mergeCell ref="A41:B41"/>
    <mergeCell ref="A1:R1"/>
    <mergeCell ref="A27:B27"/>
    <mergeCell ref="A28:R28"/>
    <mergeCell ref="G4:H4"/>
    <mergeCell ref="M4:N4"/>
    <mergeCell ref="K4:L4"/>
    <mergeCell ref="I4:J4"/>
    <mergeCell ref="Q3:R4"/>
    <mergeCell ref="G3:P3"/>
    <mergeCell ref="O4:P4"/>
    <mergeCell ref="B3:B5"/>
    <mergeCell ref="A3:A5"/>
    <mergeCell ref="P2:R2"/>
    <mergeCell ref="E3:F3"/>
    <mergeCell ref="E4:E5"/>
    <mergeCell ref="C4:C5"/>
  </mergeCells>
  <pageMargins left="0" right="0" top="0" bottom="0" header="0" footer="0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Жами мурожаатлар</vt:lpstr>
      <vt:lpstr>Ойма ой </vt:lpstr>
      <vt:lpstr>Куриб чикиш натижаси</vt:lpstr>
      <vt:lpstr>Кўриб чикиш муддати</vt:lpstr>
      <vt:lpstr>'Жами мурожаатлар'!Область_печати</vt:lpstr>
      <vt:lpstr>'Кўриб чикиш муддати'!Область_печати</vt:lpstr>
      <vt:lpstr>'Куриб чикиш натижаси'!Область_печати</vt:lpstr>
      <vt:lpstr>'Ойма ой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aparat</dc:creator>
  <cp:lastModifiedBy>User</cp:lastModifiedBy>
  <cp:lastPrinted>2021-10-03T12:25:39Z</cp:lastPrinted>
  <dcterms:created xsi:type="dcterms:W3CDTF">2014-03-14T08:40:39Z</dcterms:created>
  <dcterms:modified xsi:type="dcterms:W3CDTF">2021-10-04T07:29:48Z</dcterms:modified>
</cp:coreProperties>
</file>